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120" yWindow="105" windowWidth="15180" windowHeight="8835" firstSheet="1" activeTab="2"/>
  </bookViews>
  <sheets>
    <sheet name="Tab Z-1" sheetId="1" r:id="rId1"/>
    <sheet name="TABING" sheetId="2" r:id="rId2"/>
    <sheet name="PARC INGG" sheetId="3" r:id="rId3"/>
    <sheet name="RIEPIL SCORP" sheetId="4" r:id="rId4"/>
    <sheet name="TABGEOL" sheetId="5" r:id="rId5"/>
    <sheet name="PARC GEOLOGO" sheetId="6" r:id="rId6"/>
    <sheet name="RIEPILOGO" sheetId="7" r:id="rId7"/>
    <sheet name="PARC INGG PARZ" sheetId="8" r:id="rId8"/>
    <sheet name="PARC INGG PARZ SCORP SIC" sheetId="9" r:id="rId9"/>
    <sheet name="CLASSI-CAT L.143" sheetId="10" r:id="rId10"/>
    <sheet name="Foglio1" sheetId="11" r:id="rId11"/>
  </sheets>
  <definedNames>
    <definedName name="_xlfn.IFERROR" hidden="1">#NAME?</definedName>
    <definedName name="_xlnm.Print_Area" localSheetId="5">'PARC GEOLOGO'!$B$1:$Q$20</definedName>
    <definedName name="_xlnm.Print_Area" localSheetId="2">'PARC INGG'!$B$1:$P$21</definedName>
    <definedName name="_xlnm.Print_Area" localSheetId="7">'PARC INGG PARZ'!$A$1:$K$19</definedName>
    <definedName name="_xlnm.Print_Area" localSheetId="8">'PARC INGG PARZ SCORP SIC'!$B$1:$Q$12</definedName>
    <definedName name="_xlnm.Print_Area" localSheetId="3">'RIEPIL SCORP'!$B$1:$E$27</definedName>
    <definedName name="_xlnm.Print_Area" localSheetId="6">'RIEPILOGO'!$A$1:$E$24</definedName>
    <definedName name="_xlnm.Print_Area" localSheetId="0">'Tab Z-1'!$A$1:$G$63</definedName>
    <definedName name="_xlnm.Print_Area" localSheetId="4">'TABGEOL'!$A$1:$T$21</definedName>
    <definedName name="CRITERIA" localSheetId="1">'TABING'!$C$14:$C$105</definedName>
    <definedName name="_xlnm.Print_Titles" localSheetId="9">'CLASSI-CAT L.143'!$2:$2</definedName>
    <definedName name="_xlnm.Print_Titles" localSheetId="0">'Tab Z-1'!$2:$2</definedName>
  </definedNames>
  <calcPr fullCalcOnLoad="1"/>
</workbook>
</file>

<file path=xl/sharedStrings.xml><?xml version="1.0" encoding="utf-8"?>
<sst xmlns="http://schemas.openxmlformats.org/spreadsheetml/2006/main" count="1009" uniqueCount="574">
  <si>
    <t>V</t>
  </si>
  <si>
    <t>VIII</t>
  </si>
  <si>
    <t>II/a</t>
  </si>
  <si>
    <t>II/b</t>
  </si>
  <si>
    <t>II/c</t>
  </si>
  <si>
    <t>III/a</t>
  </si>
  <si>
    <t>III/b</t>
  </si>
  <si>
    <t>III/c</t>
  </si>
  <si>
    <t>IV/a</t>
  </si>
  <si>
    <t>IV/b</t>
  </si>
  <si>
    <t>IV/c</t>
  </si>
  <si>
    <t>VI/a</t>
  </si>
  <si>
    <t>VI/b</t>
  </si>
  <si>
    <t>VII/a</t>
  </si>
  <si>
    <t>VII/b</t>
  </si>
  <si>
    <t>VII/c</t>
  </si>
  <si>
    <t>IX/a</t>
  </si>
  <si>
    <t>IX/b</t>
  </si>
  <si>
    <t>IX/c</t>
  </si>
  <si>
    <t>I/a</t>
  </si>
  <si>
    <t>I/b</t>
  </si>
  <si>
    <t>I/c</t>
  </si>
  <si>
    <t>I/d</t>
  </si>
  <si>
    <t>I/e</t>
  </si>
  <si>
    <t>I/f</t>
  </si>
  <si>
    <t>I/g</t>
  </si>
  <si>
    <t>Costruzioni rurali, industriali, civili, artistiche e decorative</t>
  </si>
  <si>
    <t>Edifici industriali di importanza costruttiva corrente. Edifici rurali di importanza speciale. Scuole, piccoli ospedali, case popolari, caserme, prigioni, macelli, mercati, stazioni e simili qualora siano di media importanza. Organismi costruttivi in metallo.</t>
  </si>
  <si>
    <t>Gli edifici di cui alla lettera b) quando siano di importanza maggiore, scuole importanti ed istituti superiori, bagni e costruzione di carattere sportivo, edifici di abitazione civile e di commercio, villini semplici e simili.</t>
  </si>
  <si>
    <t>Palazzi e case signorili, ville signorili, giardini, palazzi pubblici importanti, teatri, cinema, chiese, banche, alberghi, edifici provvisori di carattere decorativo, serre ornamentalli, ed in genere tutti gli edifici di rilevante importanza tecnica ed archittettonica. Costruzioni industriali con caratteristiche speciali e di peculiare importanza tecnica. restauri artistici e piani regolatori parziali.</t>
  </si>
  <si>
    <t>Strutture o parti di strutture complesse in cemento armato.</t>
  </si>
  <si>
    <t>Strutture o parti di strutture complesse in cemento armato richiedenti speciale studio tecnico, ivi comprese le strutture antisismiche.</t>
  </si>
  <si>
    <t>Impianti per le industrie molitorie, cartarie, alimentari, delle fibbre tessili naturali, del legno del cuoio e simili.</t>
  </si>
  <si>
    <t xml:space="preserve">Impianti dell'industria chimica organica, della preparazione e della distillazione dei combustibili, impianti siderurgici, officine meccaniche, cantieri navali, fabbriche di cemento, calce, laterizi, vetrerie e ceramiche, impianti per le industrie della fermentazione, chimico-alimentari e tintorie. </t>
  </si>
  <si>
    <t xml:space="preserve">Impianti dell' industria organica, della piccola industria chimica speciale, impianti di metallurgia(esclusi quelli relativi al ferro), impianti per la preparazione ed il trattamento dei minerali per la sistemazione e la coltivazione delle cave e delle miniere. </t>
  </si>
  <si>
    <t>Impianti per la produzione  e la distribuzione del freddo, dell' aria compressa, del vuoto, impianti di riscaldamento, di inumidimento e ventilazione, trasporti meccanici.</t>
  </si>
  <si>
    <t>Impianti di illuminazione, telefoni, segnalazioni, controlli, ecc.</t>
  </si>
  <si>
    <t>Impianti elettrici</t>
  </si>
  <si>
    <t>Impianti di linee e reti per trasmissione e distribuzione di energia elettrica, telegrafia telefonia, radiotelegrafia e radiotelefonia.</t>
  </si>
  <si>
    <t>Strade ordinarie, linee tranviarie, strade ferrate in collina e in pianura, escluse le opere d' arte di importanza da compensarsi a parte.</t>
  </si>
  <si>
    <t>Bonifiche ed irrigazione a deflusso  naturale, sistemazione di corsi d' acqua e di bacini montani.</t>
  </si>
  <si>
    <t>Opere di navigazione interna e portuali.</t>
  </si>
  <si>
    <t>Ponti, manufatti isolati, strutture speciali.</t>
  </si>
  <si>
    <t>Dighe, conche, elevatori. Ponti di ferro. Opere metalliche di tipo speciale di notevole importanza costruttiva e richiedenti calcolazioni particolari.</t>
  </si>
  <si>
    <t xml:space="preserve">Costruzioni  informate a grande semplicità, fabbricati rurali, magazzini, edifici industriali semplici e senza particolari esigenze tecniche, capannoni, baracche, edifici provvisori senza importanza e simili. Solai in cemento armato o solettoni in laterizzi per case di abitazione appoggiate su murature ordinati per portare normali fino a 5 metri.  </t>
  </si>
  <si>
    <t>Impianti di servizi generali interni e stabilimenti industriali od a costruzioni o gruppi di costruzioni civili, e cioè macchinario, apparecchi ed annessi non strettamente legati al diagramma tecnico e non facenti parte di opere non complessivamente considerate nelle precedenti classi.</t>
  </si>
  <si>
    <t>Impianti elettrici, impianti termoelettrici, impianti dell' elettrochimicha dell' elettrometallurgia.</t>
  </si>
  <si>
    <t>Centrali idroelettriche, stazioni di trasformazione e di conversione. Impianti di trazione elettrica.</t>
  </si>
  <si>
    <t>Bonifiche ed irrigazioni con sollevamento meccanico di acqua (esclusi macchinari). Derivazioni di acqua con forza motrice e produzione di energia elettrica.</t>
  </si>
  <si>
    <t>Impianti per provvista, condotta, distribuzione d' acqua. Fognature urbane.</t>
  </si>
  <si>
    <t>Gallerie, opere sotterranee o subbacque, fondazioni speciali.</t>
  </si>
  <si>
    <t>Classe/Categoria</t>
  </si>
  <si>
    <t>Costruzioni di carattere prettamente artistico e monumentale. Chioschi, padiglioni, fontane, altari, monumenti commemorativi, costruzioni funurarie. Decorazione esterna o interna ed arredamento di edifici e di ambienti. Disegno di mobili, opere artistiche in metallo, in vetro, ecc...</t>
  </si>
  <si>
    <t>Impianti per la produzione e la distribuzione del vapore, dell' energia elettrica e della forza motrice, per l' approvvigionamento, la preparazione e le distribuzione di acqua nell' interno di edifici o per scopi industriali, impianti sanitari, impianti di fognatura domestica o industriale ed opere relative al trattamento delle acque di rifiuto.</t>
  </si>
  <si>
    <t>Macchine isolate  e loro parti</t>
  </si>
  <si>
    <t>Ferrovie e strade</t>
  </si>
  <si>
    <t>Bonifiche ed irrigazione impianti idraulici per produzione di energia elettrica e per forza motrice, opere portuali e di navigazione interna, sistemazione di corsi d' acqua e bacini montani, opere analoghe escluse le opere d' arte d' importanza da computarsi a parte</t>
  </si>
  <si>
    <t xml:space="preserve">Impianti industriali completi e cioè: macchinario, apparecchi, servizi generali ed annessi, necessari allo svolgimento dell' industria e compresi i fabbricati, quando questi siano parte integrante del macchinario e dei dispositivi industriali. </t>
  </si>
  <si>
    <t>OGGETTO PER CLASSE E CATEGORIA</t>
  </si>
  <si>
    <t>Oggetto solo per classe</t>
  </si>
  <si>
    <t>Ponti di muratura o di legname, costruzione ed edifici per opere idrauliche. Strutture in legno o metallo di tipo ordinari.</t>
  </si>
  <si>
    <t>Strade ordinarie, linee tranviarie e ferrovie in montagna e comunque  con particolari difficoltà di studio, escluse le opere d' arte di importanza e le stazioni di tipo speciale, da compensarsi a parte. Impianti teleferici e funicolari.</t>
  </si>
  <si>
    <t>€</t>
  </si>
  <si>
    <t>TOTALE PARCELLA</t>
  </si>
  <si>
    <t xml:space="preserve">Edifici rurali per l'attività agricola con corredi tecnici di tipo semplice (quali tettoie, depositi e ricoveri) - Edifici industriali o artigianali di importanza costruttiva corrente con corredi tecnici di base. </t>
  </si>
  <si>
    <t xml:space="preserve">Edifici rurali per l'attività agricola con corredi tecnici di tipo complesso -
Edifici industriali o artigianali con organizzazione e corredi tecnici di tipo
complesso. </t>
  </si>
  <si>
    <t>E.01</t>
  </si>
  <si>
    <t>I/a-I/b</t>
  </si>
  <si>
    <t>E.02</t>
  </si>
  <si>
    <t>E.03</t>
  </si>
  <si>
    <t>E.04</t>
  </si>
  <si>
    <t>E.05</t>
  </si>
  <si>
    <t>E.06</t>
  </si>
  <si>
    <t>E.07</t>
  </si>
  <si>
    <t>E.08</t>
  </si>
  <si>
    <t>E.09</t>
  </si>
  <si>
    <t>E.10</t>
  </si>
  <si>
    <t>E.11</t>
  </si>
  <si>
    <t>E.12</t>
  </si>
  <si>
    <t>E.13</t>
  </si>
  <si>
    <t>E.14</t>
  </si>
  <si>
    <t>E.15</t>
  </si>
  <si>
    <t>E.16</t>
  </si>
  <si>
    <t>E.17</t>
  </si>
  <si>
    <t>E.18</t>
  </si>
  <si>
    <t>E.19</t>
  </si>
  <si>
    <t>E.20</t>
  </si>
  <si>
    <t>E.21</t>
  </si>
  <si>
    <t>E.22</t>
  </si>
  <si>
    <t>S.01</t>
  </si>
  <si>
    <t>S.02</t>
  </si>
  <si>
    <t>S.03</t>
  </si>
  <si>
    <t>S.04</t>
  </si>
  <si>
    <t>S.05</t>
  </si>
  <si>
    <t>S.06</t>
  </si>
  <si>
    <t>IX/b-IX/c</t>
  </si>
  <si>
    <t>I/g-IX/c</t>
  </si>
  <si>
    <t>Edifici e manufatti esistenti</t>
  </si>
  <si>
    <t>Arredi, Forniture, Aree esterne pertinenziali allestite</t>
  </si>
  <si>
    <t>Sedi amministrative, giudiziarie, delle forze dell'ordine</t>
  </si>
  <si>
    <t>Cultura, Vita sociale, Sport, Culto</t>
  </si>
  <si>
    <t>Sanità, Istruzione, Ricerca</t>
  </si>
  <si>
    <t>Residenziale</t>
  </si>
  <si>
    <t>Industria Alberghiera, Turismo e commercio e Servizi per la Mobilità</t>
  </si>
  <si>
    <t>Insediamenti Produttivi Agricoltura - Industria - Artigianato</t>
  </si>
  <si>
    <t xml:space="preserve">Ostelli, Pensioni, Case albergo – Ristoranti - Motel e stazioni di servizio - negozi - mercati coperti di tipo semplice </t>
  </si>
  <si>
    <t xml:space="preserve">Alberghi, Villaggi turistici - Mercati e Centri commerciali complessi </t>
  </si>
  <si>
    <t>Edifici, pertinenze, autorimesse semplici, senza particolari esigenze tecniche. Edifici provvisori di modesta importanza</t>
  </si>
  <si>
    <t xml:space="preserve">Edilizia residenziale privata e pubblica di tipo corrente con costi di costruzione nella media di mercato e con tipologie standardizzate. </t>
  </si>
  <si>
    <t>Edifici residenziali di tipo pregiato con costi di costruzione eccedenti la media di mercato e con tipologie diversificate</t>
  </si>
  <si>
    <t xml:space="preserve">Scuole secondarie di primo grado oltre 24 classi-Istituti scolastici superiori oltre 25 classi- Case di cura </t>
  </si>
  <si>
    <t>Poliambulatori, Ospedali, Istituti di ricerca, Centri di riabilitazione, Poli scolastici, Università, Accademie, Istituti di ricerca universitaria</t>
  </si>
  <si>
    <t>Padiglioni provvisori per esposizioni - Costruzioni relative ad opere
cimiteriali di tipo normale (colombari, ossari, loculari, edicole funerarie
con caratteristiche costruttive semplici), Case parrocchiali, Oratori -
Stabilimenti balneari - Aree ed attrezzature per lo sport all'aperto, Campo
sportivo e servizi annessi, di tipo semplice</t>
  </si>
  <si>
    <t xml:space="preserve">Aree ed attrezzature per lo sport all'aperto, Campo sportivo e servizi annessi, di tipo complesso- Palestre e piscine coperte </t>
  </si>
  <si>
    <t xml:space="preserve">Biblioteca, Cinema, Teatro, Pinacoteca, Centro Culturale, Sede
congressuale, Auditorium, Museo, Galleria d'arte, Discoteca, Studio
radiofonico o televisivo o di produzione cinematografica - Opere
cimiteriali di tipo monumentale, Monumenti commemorativi, Palasport,
Stadio, Chiese </t>
  </si>
  <si>
    <t>Edifici provvisori di modesta importanza a servizio di caserme</t>
  </si>
  <si>
    <t>Caserme con corredi tecnici di importanza corrente</t>
  </si>
  <si>
    <t>Verde ed opere di arredo urbano improntate a grande semplicità, pertinenziali agli edifici ed alla viabilità, Campeggi e simil</t>
  </si>
  <si>
    <t>Arredamenti con elementi acquistati dal mercato, Giardini, Parchi gioco, Piazze e spazi pubblici all’aperto</t>
  </si>
  <si>
    <t xml:space="preserve">Arredamenti con elementi singolari, Parchi urbani, Parchi ludici attrezzati, Giardini e piazze storiche, Opere di riqualificazione paesaggistica e ambientale di aree urbane. </t>
  </si>
  <si>
    <t xml:space="preserve">Interventi di manutenzione straordinaria, ristrutturazione, riqualificazione, su edifici e manufatti esistenti </t>
  </si>
  <si>
    <t xml:space="preserve">Interventi di manutenzione straordinaria, restauro, ristrutturazione, riqualificazione, su edifici e manufatti di interesse storico artistico non </t>
  </si>
  <si>
    <t>Interventi di manutenzione, restauro, risanamento conservativo, riqualificazione, su edifici e manufatti di interesse storico artistico soggett</t>
  </si>
  <si>
    <t xml:space="preserve">Strutture o parti di strutture in cemento armato, non soggette ad azioni sismiche - riparazione o intervento locale - Verifiche strutturali relative - Ponteggi, centinature e strutture provvisionali di durata inferiore a due anni </t>
  </si>
  <si>
    <t xml:space="preserve">Strutture o parti di strutture in muratura, legno, metallo, non soggette ad azioni sismiche - riparazione o intervento locale - Verifiche strutturali relative, </t>
  </si>
  <si>
    <t xml:space="preserve">Strutture o parti di strutture in cemento armato - Verifiche strutturali relative - Ponteggi, centinature e strutture provvisionali di durata superiore a due anni. </t>
  </si>
  <si>
    <t>Strutture o parti di strutture in muratura, legno, metallo - Verifiche strutturali relative - Consolidamento delle opere di fondazione di manufatti dissestati - Ponti, Paratie e tiranti, Consolidamento di pendii e di fronti rocciosi ed opere connesse, di tipo corrente - Verifiche strutturali relative.</t>
  </si>
  <si>
    <t xml:space="preserve">Dighe, Conche, Elevatori, Opere di ritenuta e di difesa, rilevati, colmate. Gallerie, Opere sotterranee e subacquee, Fondazioni speciali. </t>
  </si>
  <si>
    <t>Opere strutturali di notevole importanza costruttiva e richiedenti calcolazioni particolari - Verifiche strutturali relative - Strutture con metodologie normative che richiedono modellazione particolare: edifici alti con necessità di valutazioni di secondo ordine</t>
  </si>
  <si>
    <t>Identificazione delle Opere</t>
  </si>
  <si>
    <t>Destinazione Funzionale</t>
  </si>
  <si>
    <t>Categoria</t>
  </si>
  <si>
    <t>E D I L I Z I A</t>
  </si>
  <si>
    <t>S T R U T T U R E</t>
  </si>
  <si>
    <t>P</t>
  </si>
  <si>
    <t>G</t>
  </si>
  <si>
    <t>I M P I A N T I</t>
  </si>
  <si>
    <t>IDRAULICA</t>
  </si>
  <si>
    <t>IA.01</t>
  </si>
  <si>
    <t>IA.02</t>
  </si>
  <si>
    <t>IA.03</t>
  </si>
  <si>
    <t>IA.04</t>
  </si>
  <si>
    <t>IB.04</t>
  </si>
  <si>
    <t>Depositi e discariche senza trattamento dei rifiuti.</t>
  </si>
  <si>
    <t>II/B</t>
  </si>
  <si>
    <t>IB.06</t>
  </si>
  <si>
    <t>IB.07</t>
  </si>
  <si>
    <t>IB.08</t>
  </si>
  <si>
    <t xml:space="preserve">Impianti di linee e reti per trasmissioni e distribuzione di energia elettrica, telegrafia, telefonia. </t>
  </si>
  <si>
    <t>IB.09</t>
  </si>
  <si>
    <t>IB.10</t>
  </si>
  <si>
    <t xml:space="preserve">Centrali idroelettriche ordinarie - Stazioni di trasformazioni e di conversione impianti di trazione elettrica </t>
  </si>
  <si>
    <t>IB.11</t>
  </si>
  <si>
    <t>Campi fotovoltaici - Parchi eolici</t>
  </si>
  <si>
    <t>IB.12</t>
  </si>
  <si>
    <t>Micro Centrali idroelettriche-Impianti termoelettrici-Impianti della elettrometallurgia di tipo complesso</t>
  </si>
  <si>
    <t>Manutenzione</t>
  </si>
  <si>
    <t>V.01</t>
  </si>
  <si>
    <t>Interventi di manutenzione su viabilità ordinaria</t>
  </si>
  <si>
    <t>Viabilità ordinaria</t>
  </si>
  <si>
    <t>V.02</t>
  </si>
  <si>
    <t>Strade, linee tramviarie, ferrovie, strade ferrate, di tipo ordinario, escluse le opere d'arte da compensarsi a parte - Piste ciclabili</t>
  </si>
  <si>
    <t>Viabilità speciale</t>
  </si>
  <si>
    <t>V.03</t>
  </si>
  <si>
    <t>Navigazione</t>
  </si>
  <si>
    <t>D.01</t>
  </si>
  <si>
    <t>Opere di navigazione interna e portuali</t>
  </si>
  <si>
    <t xml:space="preserve">Opere di bonifica e derivazioni </t>
  </si>
  <si>
    <t>D.02</t>
  </si>
  <si>
    <t xml:space="preserve">Bonifiche ed irrigazioni a deflusso naturale, sistemazione di corsi d'acqua e di bacini montani </t>
  </si>
  <si>
    <t>D.03</t>
  </si>
  <si>
    <t>Acquedotti e fognature</t>
  </si>
  <si>
    <t>D.04</t>
  </si>
  <si>
    <t>D.05</t>
  </si>
  <si>
    <t>Sistemi informativi</t>
  </si>
  <si>
    <t>T.01</t>
  </si>
  <si>
    <t xml:space="preserve">Sistemi e reti di 
telecomunicazione </t>
  </si>
  <si>
    <t>T.02</t>
  </si>
  <si>
    <t xml:space="preserve">Sistemi elettronici ed 
automazione </t>
  </si>
  <si>
    <t>T.03</t>
  </si>
  <si>
    <t>Elettronica Industriale Sistemi a controllo numerico, Sistemi di automazione, Robotica.</t>
  </si>
  <si>
    <t xml:space="preserve">Interventi di sistemazione 
naturalistica o paesaggistica </t>
  </si>
  <si>
    <t>P.01</t>
  </si>
  <si>
    <t xml:space="preserve">Interventi del verde e opere per 
attività ricreativa o sportiva </t>
  </si>
  <si>
    <t>P.02</t>
  </si>
  <si>
    <t xml:space="preserve">Interventi recupero, 
riqualificazione ambientale </t>
  </si>
  <si>
    <t>P.03</t>
  </si>
  <si>
    <t xml:space="preserve">Interventi di sfruttamento di cave 
e torbiere </t>
  </si>
  <si>
    <t>P.04</t>
  </si>
  <si>
    <t>Opere di utilizzazione di bacini estrattivi a parete o a fossa</t>
  </si>
  <si>
    <t>Interventi di miglioramento e 
qualificazione della filiera 
forestale</t>
  </si>
  <si>
    <t>P.05</t>
  </si>
  <si>
    <t xml:space="preserve">Opere di assetto ed utilizzazione forestale nonché dell’impiego ai fini industriali, energetici ed ambientali. 
Piste forestali, strade forestali– percorsi naturalistici, aree di sosta e di stazionamento dei mezzi forestali. 
Meccanizzazione forestale </t>
  </si>
  <si>
    <t>Interventi di miglioramento 
fondiario agrario e rurale; 
interventi di pianificazione alimentare</t>
  </si>
  <si>
    <t>P.06</t>
  </si>
  <si>
    <t xml:space="preserve">Opere di intervento per la realizzazione di infrastrutture e di miglioramento dell’assetto rurale. </t>
  </si>
  <si>
    <t>TERRITORIO E URBANISTICA</t>
  </si>
  <si>
    <t xml:space="preserve">Interventi per la valorizzazione 
delle filiere produttive 
agroalimentari e zootecniche; 
interventi di controllo – vigilanza 
alimentare  </t>
  </si>
  <si>
    <t>U.01</t>
  </si>
  <si>
    <t xml:space="preserve">Interventi per la valorizzazione 
della filiera naturalistica e 
faunistica </t>
  </si>
  <si>
    <t>U.02</t>
  </si>
  <si>
    <t xml:space="preserve">Interventi di valorizzazione degli ambiti naturali sia di tipo vegetazionale che faunistico </t>
  </si>
  <si>
    <t xml:space="preserve">Pianificazione </t>
  </si>
  <si>
    <t>U.03</t>
  </si>
  <si>
    <t>Strumenti di pianificazione generale ed attuativa e di pianificazione di settore</t>
  </si>
  <si>
    <t xml:space="preserve"> categorie: </t>
  </si>
  <si>
    <t>Fasi Prestazionali</t>
  </si>
  <si>
    <t>Descrizione delle singole prestazioni</t>
  </si>
  <si>
    <t>Edilizia</t>
  </si>
  <si>
    <t>Strutture</t>
  </si>
  <si>
    <t>Impianti</t>
  </si>
  <si>
    <t>Viabilità</t>
  </si>
  <si>
    <t>Idraulica</t>
  </si>
  <si>
    <t>TLC</t>
  </si>
  <si>
    <t>Territorio e Urbanistica</t>
  </si>
  <si>
    <t>Qa.I.01</t>
  </si>
  <si>
    <t>Relazione illustrativa (art.14, comma 1, DPR 207/2010)</t>
  </si>
  <si>
    <t>Qa.I.02</t>
  </si>
  <si>
    <t>Relazione illustrativa, elaborati progettuali e tecnico economici (art.14, comma 2, DPR 207/2010)</t>
  </si>
  <si>
    <t>Qa.I.03</t>
  </si>
  <si>
    <t>Supporto al RUP: accertamenti e verifiche preliminari (art.10, comma 1, lett. A), b), c), DPR 207/2010</t>
  </si>
  <si>
    <t>Qa.II.01</t>
  </si>
  <si>
    <t>Qa.II.02</t>
  </si>
  <si>
    <t>Qa.II.03</t>
  </si>
  <si>
    <t>Qa.III.01</t>
  </si>
  <si>
    <t>Qa.III.02</t>
  </si>
  <si>
    <t>Qa.III.03</t>
  </si>
  <si>
    <t>Qa.IV.01</t>
  </si>
  <si>
    <t>Qb.I.01</t>
  </si>
  <si>
    <t>Relazioni, planimetrie, elaborati grafici (art.17, comma 1, lett. a), b), e), DPR 207/2010)</t>
  </si>
  <si>
    <t>Qb.I.02</t>
  </si>
  <si>
    <t>Calcolo sommario della spesa, quadro economico di progetto (art.17, comma 1, lett. g), h), DPR 207/2010)</t>
  </si>
  <si>
    <t>Qb.I.03</t>
  </si>
  <si>
    <t>Qb.I.04</t>
  </si>
  <si>
    <t>Qb.I.05</t>
  </si>
  <si>
    <t>Qb.I.06</t>
  </si>
  <si>
    <t>Relazione geotecnica (art.19, comma 1, DPR 207/2010)</t>
  </si>
  <si>
    <t>Qb.I.07</t>
  </si>
  <si>
    <t>Relazione idrologica (art.19, comma 1, DPR 207/2010)</t>
  </si>
  <si>
    <t>Qb.I.08</t>
  </si>
  <si>
    <t>Relazione idraulica (art.19, comma 1, DPR 207/2010)</t>
  </si>
  <si>
    <t>Qb.I.09</t>
  </si>
  <si>
    <t>Relazione sismica e sulle strutture
 (art.19, comma 1, DPR 207/2010)</t>
  </si>
  <si>
    <t>Qb.I.10</t>
  </si>
  <si>
    <t>Relazione archeologica (art.19, comma 1, DPR 207/2010)</t>
  </si>
  <si>
    <t>Qb.I.11</t>
  </si>
  <si>
    <t>Fino a</t>
  </si>
  <si>
    <t>Sull'ecced. fino a</t>
  </si>
  <si>
    <t>Sull'eccedenza</t>
  </si>
  <si>
    <t>Qb.I.12</t>
  </si>
  <si>
    <t>Qb.I.13</t>
  </si>
  <si>
    <t>Qb.I.14</t>
  </si>
  <si>
    <t>Qb.I.15</t>
  </si>
  <si>
    <t>Qb.I.16</t>
  </si>
  <si>
    <t>Qb.I.17</t>
  </si>
  <si>
    <t>Qb.I.18</t>
  </si>
  <si>
    <t>Qb.I.19</t>
  </si>
  <si>
    <t>Qb.I.20</t>
  </si>
  <si>
    <t>Qb.II.01</t>
  </si>
  <si>
    <t>Qb.II.02</t>
  </si>
  <si>
    <t>Qb.II.03</t>
  </si>
  <si>
    <t>Qb.II.04</t>
  </si>
  <si>
    <t>Qb.II.05</t>
  </si>
  <si>
    <t>Qb.II.06</t>
  </si>
  <si>
    <t>Qb.II.07</t>
  </si>
  <si>
    <t>Qb.II.08</t>
  </si>
  <si>
    <t>Qb.II.09</t>
  </si>
  <si>
    <t>Qb.II.10</t>
  </si>
  <si>
    <t>Qb.II.11</t>
  </si>
  <si>
    <t>Qb.II.12</t>
  </si>
  <si>
    <t>Qb.II.13</t>
  </si>
  <si>
    <t>Qb.II.14</t>
  </si>
  <si>
    <t>Qb.II.15</t>
  </si>
  <si>
    <t>Qb.II.16</t>
  </si>
  <si>
    <t>Qb.II.17</t>
  </si>
  <si>
    <t>Qb.II.18</t>
  </si>
  <si>
    <t>Qb.II.19</t>
  </si>
  <si>
    <t>Qb.II.20</t>
  </si>
  <si>
    <t>Qb.II.21</t>
  </si>
  <si>
    <t>Qb.II.22</t>
  </si>
  <si>
    <t>Qb.II.23</t>
  </si>
  <si>
    <t>Qb.II.24</t>
  </si>
  <si>
    <t>Qb.II.25</t>
  </si>
  <si>
    <t>Qb.II.26</t>
  </si>
  <si>
    <t>Qb.II.27</t>
  </si>
  <si>
    <t>Qb.III.01</t>
  </si>
  <si>
    <t>Qb.III.02</t>
  </si>
  <si>
    <t>Qb.III.03</t>
  </si>
  <si>
    <t>Qb.III.04</t>
  </si>
  <si>
    <t>Qb.III.05</t>
  </si>
  <si>
    <t>Qb.III.06</t>
  </si>
  <si>
    <t>Qb.III.07</t>
  </si>
  <si>
    <t>Qb.III.08</t>
  </si>
  <si>
    <t>Qb.III.09</t>
  </si>
  <si>
    <t>Qb.III.10</t>
  </si>
  <si>
    <t>Qb.III.11</t>
  </si>
  <si>
    <t>Qc.I.01</t>
  </si>
  <si>
    <t>Qc.I.02</t>
  </si>
  <si>
    <t>Qc.I.03</t>
  </si>
  <si>
    <t>Qc.I.04</t>
  </si>
  <si>
    <t>Qc.I.05</t>
  </si>
  <si>
    <t>Qc.I.06</t>
  </si>
  <si>
    <t>Qc.I.05.01</t>
  </si>
  <si>
    <t>Qc.I.07</t>
  </si>
  <si>
    <t>Qc.I.08</t>
  </si>
  <si>
    <t>Qc.I.09</t>
  </si>
  <si>
    <t>Qc.I.10</t>
  </si>
  <si>
    <t>Qc.I.11</t>
  </si>
  <si>
    <t>Qc.I.12</t>
  </si>
  <si>
    <t>Qc.I.13</t>
  </si>
  <si>
    <t>d.I) VERIFICHE E COLLAUDI</t>
  </si>
  <si>
    <t>e.I) MONITORAGGI</t>
  </si>
  <si>
    <t>a.I)
 STUDI DI FATTIBILITA'</t>
  </si>
  <si>
    <t>a.II)  
STIME E 
VALUTAZIONI</t>
  </si>
  <si>
    <t xml:space="preserve">Sintetiche, basate su elementi sintetici e globali, vani, metri cubi, etc. (d.P.R. 327/2001) </t>
  </si>
  <si>
    <t xml:space="preserve">Particolareggiate, complete di criteri di valutazione, relazione motivata, descrizioni, computi e tipi (d.P.R. 327/2001) </t>
  </si>
  <si>
    <t xml:space="preserve">Analitiche, integrate con specifiche e distinte, sullo stato e valore dei singoli componenti  (d.P.R. 327/2001) </t>
  </si>
  <si>
    <t xml:space="preserve">a.III) 
RILIEVI 
STUDI ED 
ANALISI </t>
  </si>
  <si>
    <t xml:space="preserve">Rilievi, studi e classificazioni agronomiche, colturali, delle biomasse e delle attività produttive (d.Lgs 152/2006 – All.VI-VII) </t>
  </si>
  <si>
    <t xml:space="preserve">Rilievo botanico e analisi vegetazionali dei popolamenti erbacei ed arborei ed animali (d.Lgs 152/2006 – All.VI-VII) </t>
  </si>
  <si>
    <t xml:space="preserve">a.IV) 
PIANI 
ECONOMICI </t>
  </si>
  <si>
    <t xml:space="preserve"> Piani economici, aziendali, business plan e di investimento </t>
  </si>
  <si>
    <t>b.I)    PROGETTAZIONE PRELIMINARE      b.I)    PROGETTAZIONE PRELIMINARE      b.I)    PROGETTAZIONE PRELIMINARE</t>
  </si>
  <si>
    <t>Piano particellare preliminare delle aree o rilievo di massima degli immobili (art.17, comma 1 lett.i), DPR 207/2010 - art.242, comma 4 lett.c) DPR 207/2010</t>
  </si>
  <si>
    <t>Piano economico e finanziario di massima   (art.17, comma 4, DPR 207/2010 - art.164 D.lgs 163/2006 - art.1, comma 3, ALLEGATO XXI)</t>
  </si>
  <si>
    <t>Capitolato speciale descrittivo e prestazionale, schema di contratto  (art.17, comma 3 lett. B), c), DPR 207/2010 - art.164 D.lgs 163/2006 - art.7, ALLEGATO XXI)</t>
  </si>
  <si>
    <t xml:space="preserve">Studio di inserimento urbanistico </t>
  </si>
  <si>
    <t xml:space="preserve">Relazione tecnica sullo stato di consistenza degli immobili da ristrutturare  </t>
  </si>
  <si>
    <t xml:space="preserve">Prime indicazioni di progettazione antincendio (D.M. 6/02/1982) </t>
  </si>
  <si>
    <t xml:space="preserve">Prime indicazioni e prescrizioni per la stesura dei Piani di Sicurezza </t>
  </si>
  <si>
    <t>Supporto al RUP: supervisione e coordinamento della progettazione preliminare</t>
  </si>
  <si>
    <t xml:space="preserve">Supporto al RUP: verifica della progettazione preliminare </t>
  </si>
  <si>
    <t>b.II)   PROGETTAZIONE DEFINITIVA      b.II)   PROGETTAZIONE DEFINITIVA      b.II)   PROGETTAZIONE DEFINITIVA       b.II)   PROGETTAZIONE DEFINITIVA</t>
  </si>
  <si>
    <t xml:space="preserve">Rilievi dei manufatti </t>
  </si>
  <si>
    <t xml:space="preserve">Disciplinare descrittivo e prestazionale </t>
  </si>
  <si>
    <t xml:space="preserve">Piano particellare d’esproprio </t>
  </si>
  <si>
    <t>Elenco prezzi unitari ed eventuali analisi, Computo metrico estimativo, Quadro economico</t>
  </si>
  <si>
    <t xml:space="preserve">Rilievi planoaltimetrici </t>
  </si>
  <si>
    <t>Schema di contratto, Capitolato speciale d'appalto</t>
  </si>
  <si>
    <t xml:space="preserve">Relazione geotecnica </t>
  </si>
  <si>
    <t xml:space="preserve">Relazione idrologica </t>
  </si>
  <si>
    <t xml:space="preserve">Relazione sismica e sulle strutture </t>
  </si>
  <si>
    <t xml:space="preserve">Analisi storico critica e relazione sulle strutture esistenti </t>
  </si>
  <si>
    <t xml:space="preserve">Relazione sulle indagini dei materiali e delle strutture per edifici esistenti </t>
  </si>
  <si>
    <t>Verifica sismica delle strutture esistenti e individuazione delle carenze strutturali</t>
  </si>
  <si>
    <t xml:space="preserve">Progettazione integrale e coordinata - Integrazione delle prestazioni specialistiche </t>
  </si>
  <si>
    <t xml:space="preserve">Elaborati di progettazione antincendio (d.m. 16/02/1982) </t>
  </si>
  <si>
    <t xml:space="preserve">Relazione paesaggistica (d.lgs. 42/2004) </t>
  </si>
  <si>
    <t xml:space="preserve">Elaborati e relazioni per requisiti acustici (Legge 447/95-d.p.c.m. 512/97) </t>
  </si>
  <si>
    <t xml:space="preserve">Relazione energetica (ex Legge 10/91 e s.m.i.) </t>
  </si>
  <si>
    <t xml:space="preserve">Diagnosi energetica (ex Legge 10/91 e s.m.i.) degli edifici esistenti, esclusi i rilievi e le 
indagini </t>
  </si>
  <si>
    <t xml:space="preserve">Aggiornamento delle prime indicazioni e prescrizioni per la redazione del PSC </t>
  </si>
  <si>
    <t>Supporto RUP: verifica della progettazione definitiva</t>
  </si>
  <si>
    <t>b.III)    PROGETTAZIONE ESECUTIVA</t>
  </si>
  <si>
    <t xml:space="preserve">Relazione generale e specialistiche, Elaborati grafici, Calcoli esecutivi </t>
  </si>
  <si>
    <t xml:space="preserve">Particolari costruttivi e decorativi </t>
  </si>
  <si>
    <t xml:space="preserve">Computo  metrico  estimativo,  Quadro  economico,  Elenco  prezzi  e  eventuale  analisi,  Quadro  dell'incidenza percentuale della quantità di manodopera  </t>
  </si>
  <si>
    <t xml:space="preserve">Schema di contratto, capitolato speciale d'appalto, cronoprogramma </t>
  </si>
  <si>
    <t xml:space="preserve">Piano di manutenzione dell'opera </t>
  </si>
  <si>
    <t xml:space="preserve">Piano di Sicurezza e Coordinamento </t>
  </si>
  <si>
    <t>Supporto al RUP: per la supervisione e coordinamento della progettazione esecutiva</t>
  </si>
  <si>
    <t xml:space="preserve">Supporto al RUP: per la verifica della progettazione esecutiva </t>
  </si>
  <si>
    <t xml:space="preserve">Supporto al RUP: per la programmazione e progettazione appalto </t>
  </si>
  <si>
    <t xml:space="preserve">Supporto al RUP: per la validazione del progetto </t>
  </si>
  <si>
    <t>c.I)   ESECUZIONE DEI LAVORI    c.I)   ESECUZIONE DEI LAVORI</t>
  </si>
  <si>
    <t xml:space="preserve">Direzione lavori, assistenza al collaudo, prove di accettazione </t>
  </si>
  <si>
    <t>Liquidazione (art.194, comma 1, DPR. 207/10), Rendicontazioni e liquidazione tecnico contabile (Reg.CE 1698/2005 s.m.i)</t>
  </si>
  <si>
    <t>Controllo aggiornamento elaborati di progetto, aggiornamento dei manuali d'uso e manutenzione  (art.148, comma 4, d.P.R. 207/10)</t>
  </si>
  <si>
    <t>Coordinamento e supervisione dell'ufficio di direzione lavori (art.148, comma 2, DPR. 207/10)</t>
  </si>
  <si>
    <t>Ufficio della direzione lavori, per ogni addetto con qualifica di direttore operativo  (art.149 DPR. 207/10)</t>
  </si>
  <si>
    <t>Ufficio della direzione lavori, per ogni addetto con qualifica di direttore operativo "GEOLOGO"  (art.149 DPR. 207/2010)</t>
  </si>
  <si>
    <t xml:space="preserve">Ufficio della direzione lavori, per ogni addetto con qualifica di ispettore di cantiere  </t>
  </si>
  <si>
    <t xml:space="preserve">Variante delle quantità del progetto in corso d'opera   </t>
  </si>
  <si>
    <t xml:space="preserve">Variante del progetto  in corso d'opera            </t>
  </si>
  <si>
    <t xml:space="preserve">Certificato di regolare esecuzione </t>
  </si>
  <si>
    <t xml:space="preserve">Coordinamento della sicurezza in esecuzione </t>
  </si>
  <si>
    <t xml:space="preserve">Supporto al RUP: per la supervisione e coordinamento della D.L. e del C.S.E.  </t>
  </si>
  <si>
    <t>Qd.I.01</t>
  </si>
  <si>
    <t xml:space="preserve">Collaudo tecnico amministrativo  (Parte II, Titolo X, DPR 207/2010) </t>
  </si>
  <si>
    <t>Qd.I.02</t>
  </si>
  <si>
    <t xml:space="preserve">Revisione tecnico contabile (Parte II, Titolo X, DPR 207/2010) </t>
  </si>
  <si>
    <t>Qd.I.03</t>
  </si>
  <si>
    <t>Collaudo statico (Capitolo 9, D.M. 14/01/2008)</t>
  </si>
  <si>
    <t>Qd.I.04</t>
  </si>
  <si>
    <t xml:space="preserve">Collaudo tecnico funzionale degli impianti (D.M. 22/01/2008 n.37) </t>
  </si>
  <si>
    <t>Qd.I.05</t>
  </si>
  <si>
    <t>Attestato di certificazione energetica (art.6 D.lgs.311/2006); Esclusa diagnosi energetica</t>
  </si>
  <si>
    <t>Qe.I.01</t>
  </si>
  <si>
    <t>Monitoraggi ambientali, naturalistici, fitoiatrici, faunistici, agronomici, zootecnici (artt.18, 28, Parte III, Allegato 1, Allegato 7,  D.lgs 152/2006)</t>
  </si>
  <si>
    <t>Qe.I.02</t>
  </si>
  <si>
    <t>Ricerche agricole e/o agro-industriali, nelle bioenergie, all'innovazione e sviluppo dei settori di competenza, la statistica, le ricerche di mercato, le attività relative agli assetti societari, alla cooperazione ed all'aggregazione di reti di impresa nel settore agricolo, agroalimentare, ambientale, energetico e forestalei (Reg. CE 1698/2005 s.m.i.)</t>
  </si>
  <si>
    <t>INFRASTRUTTURE PER LA MOBILITA'</t>
  </si>
  <si>
    <t>PAESAGGIO, AMBIENTE, NATURALIZZAZIONE, AGROALIMENTARE, ZOOTECNICA, RURALITA’,  FORESTE</t>
  </si>
  <si>
    <t>TECNOLOGIE DELL'INFORMAZIONE
 E   COMUNICAZIONE …</t>
  </si>
  <si>
    <t xml:space="preserve">Impianti elettrici e speciali a servizio delle costruzioni - 
Singole apparecchiature per laboratori e impianti pilota </t>
  </si>
  <si>
    <t>Impianti industriali - Impianti pilota e impianti di depurazione con ridotte problematiche tecniche - 
Discariche inerti</t>
  </si>
  <si>
    <t xml:space="preserve">Impianti per le industrie molitorie, cartarie, alimentari, delle fibre tessili naturali, del legno, del cuoio e simili.  </t>
  </si>
  <si>
    <t>Impianti della industria chimica inorganica - Impianti della preparazione e distillazione dei combustibili - Impianti siderurgici - Officine meccaniche e laboratori - Cantieri Navali - Fabbriche di cemento, calce, laterizi, vetrerie e ceramiche - Impianti per le industrie della fermentazione, chimico-alimentari e tintorie -  Impianti termovalorizzatori e impianti di trattamento dei rifiuti - Impianti della industria chimica organica - Impianti della piccola industria chimica speciale - Impianti di metallurgia (esclusi quelli relativi al ferro) - 
Impianti per la preparazione ed il trattamento dei minerali per la sistemazione e coltivazione delle cave e miniere</t>
  </si>
  <si>
    <t xml:space="preserve">Impianti per la produzione di energia - Laboratori complessi  </t>
  </si>
  <si>
    <t xml:space="preserve">Opere elettriche per reti di trasmissione e distribuzione energia e segnali – Laboratori con ridotte problematiche tecniche </t>
  </si>
  <si>
    <t xml:space="preserve">Impianti meccanici a fluido a servizio delle costruzioni </t>
  </si>
  <si>
    <t>Strutture, Opere Infrastrutturali puntuali</t>
  </si>
  <si>
    <t>Strutture, Opere Infrastrutturali puntuali, non soggette a sisma</t>
  </si>
  <si>
    <t>Strutture Speciali</t>
  </si>
  <si>
    <t>S/N</t>
  </si>
  <si>
    <t>SI</t>
  </si>
  <si>
    <t>N.</t>
  </si>
  <si>
    <t>Importi delle singole classi e categorie</t>
  </si>
  <si>
    <t>Parametro Base</t>
  </si>
  <si>
    <t>Compensi</t>
  </si>
  <si>
    <t>Totale</t>
  </si>
  <si>
    <t>TOTALE €</t>
  </si>
  <si>
    <t>Aliquota Rimb. Sp.</t>
  </si>
  <si>
    <t>CNPAIA 4 % su</t>
  </si>
  <si>
    <t>SOMMANO  1° PARZIALE</t>
  </si>
  <si>
    <t>IVA  22 % su</t>
  </si>
  <si>
    <t>Rimborso spese ed oneri accessori</t>
  </si>
  <si>
    <t>IA</t>
  </si>
  <si>
    <t>IB</t>
  </si>
  <si>
    <t>E.</t>
  </si>
  <si>
    <t>S.</t>
  </si>
  <si>
    <t>V.</t>
  </si>
  <si>
    <t>D.</t>
  </si>
  <si>
    <t>T.</t>
  </si>
  <si>
    <t>P.</t>
  </si>
  <si>
    <t>U.</t>
  </si>
  <si>
    <t>IB.05</t>
  </si>
  <si>
    <t>=€</t>
  </si>
  <si>
    <t>RIGA DI CONTROLLO</t>
  </si>
  <si>
    <t xml:space="preserve">Impianti per provvista, condotta, distribuzione d'acqua, improntate a grande semplicità - Fognature urbane improntate a grande semplicità - Condotte subacquee in genere, metanodotti e  gasdotti, di tipo ordinario </t>
  </si>
  <si>
    <t xml:space="preserve">Impianti per provvista, condotta, distribuzione d'acqua - Fognature urbane - Condotte subacquee in genere, metanodotti e  gasdotti, con problemi tecnici di tipo speciale. </t>
  </si>
  <si>
    <t xml:space="preserve">Sistemi informativi, gestione elettronica del flusso documentale, dematerializzazione e gestione archivi, ingegnerizzazione dei processi, sistemi di gestione delle attività produttive, Data center, server farm. </t>
  </si>
  <si>
    <t xml:space="preserve">Reti locali e geografiche, cablaggi strutturati, impianti in fibra ottica, Impianti di videosorveglianza, controllo accessi, identificazione targhe di veicoli ecc Sistemi wireless, reti wifi, ponti radio. </t>
  </si>
  <si>
    <t xml:space="preserve">Opere relative alla sistemazione di ecosistemi naturali o naturalizzati, alle aree naturali protette ed alle aree a rilevanza faunistica. Opere relative al restauro paesaggistico di territori compromessi ed agli interventi su elementi strutturali  del paesaggio. Opere di configurazione di assetto paesaggistico.  </t>
  </si>
  <si>
    <t xml:space="preserve">Opere a verde sia su piccola scala o grande scala dove la rilevanza dell’opera è prevalente rispetto alle opere di tipo costruttivo. </t>
  </si>
  <si>
    <t xml:space="preserve">Opere di riqualificazione e risanamento di ambiti naturali, rurali e forestali o urbani finalizzati al ripristino delle condizioni originarie, al riassetto delle componenti  biotiche ed abiotiche. </t>
  </si>
  <si>
    <t xml:space="preserve">Opere ed infrastrutture complesse, anche a carattere immateriale, volte a migliorare l’assetto del territorio rurale per favorire lo sviluppo dei processi agricoli e zootecnici. Opere e strutture per la valorizzazione delle filiere (produzione, trasformazione e commercializzazione delle produzioni agricole e agroalimentari) </t>
  </si>
  <si>
    <t>N/D</t>
  </si>
  <si>
    <t>classi e categorie L.143/49</t>
  </si>
  <si>
    <t>Grado di Complessità
G</t>
  </si>
  <si>
    <t xml:space="preserve">Bonifiche ed irrigazioni con sollevamento meccanico di acqua (esclusi i macchinari) - Derivazioni d'acqua per forza motrice e produzione di energia elettrica. </t>
  </si>
  <si>
    <t xml:space="preserve">Strade, linee tramviarie, ferrovie, strade ferrate, con particolari difficoltà di studio, escluse le opere d'arte e le stazioni, da compensarsi a parte. - Impianti teleferici e funicolari - Piste aeroportuali e simili. </t>
  </si>
  <si>
    <t>Impianti elettrici in genere, impianti di illuminazione, telefonici, di sicurezza , di rivelazione incendi, fotovoltaici, a corredo di edifici e costruzioni complessi - cablaggi strutturati - impianti in fibra ottica -  singole apparecchiature per laboratori e impianti pilota di tipo complesso</t>
  </si>
  <si>
    <t xml:space="preserve">Impianti elettrici in genere, impianti di illuminazione, telefonici, di rivelazione incendi, fotovoltaici, a corredo di edifici e costruzioni di importanza corrente - singole apparecchiature per laboratori e impianti pilota di tipo semplice </t>
  </si>
  <si>
    <t xml:space="preserve">Impianti di riscaldamento - Impianto di raffrescamento, climatizzazione, trattamento dell’aria - Impianti meccanici di distribuzione fluidi - Impianto solare termico </t>
  </si>
  <si>
    <t>SOMME ALIQUOTE Qb.II.i</t>
  </si>
  <si>
    <t>SOMME ALIQUOTE Qb.I.i</t>
  </si>
  <si>
    <t>SOMME ALIQUOTE Qb.III.i</t>
  </si>
  <si>
    <t>SOMME ALIQUOTE Qc.I.i</t>
  </si>
  <si>
    <t>SOMME ALIQUOTE Qe.I.i</t>
  </si>
  <si>
    <t>SOMME ALIQUOTE Qd.I.i</t>
  </si>
  <si>
    <r>
      <t>contabilità dei lavori</t>
    </r>
    <r>
      <rPr>
        <b/>
        <sz val="10"/>
        <rFont val="Arial"/>
        <family val="2"/>
      </rPr>
      <t xml:space="preserve">
</t>
    </r>
  </si>
  <si>
    <t>(da Tab.Z-2)</t>
  </si>
  <si>
    <r>
      <rPr>
        <b/>
        <sz val="10"/>
        <rFont val="Symbol"/>
        <family val="1"/>
      </rPr>
      <t>å</t>
    </r>
    <r>
      <rPr>
        <b/>
        <sz val="10"/>
        <rFont val="Arial"/>
        <family val="2"/>
      </rPr>
      <t xml:space="preserve">Q.i </t>
    </r>
  </si>
  <si>
    <t>Sommatoria Complessiva delle Aliquote delle prestazioni da espletare</t>
  </si>
  <si>
    <t>0.03+10/V^0.4</t>
  </si>
  <si>
    <t xml:space="preserve">ID Opere </t>
  </si>
  <si>
    <t xml:space="preserve">D.M. </t>
  </si>
  <si>
    <t>143/'49</t>
  </si>
  <si>
    <t>Legge</t>
  </si>
  <si>
    <t>SOMME ALIQUOTE Qa.i</t>
  </si>
  <si>
    <r>
      <t xml:space="preserve">Contabilità dei lavori a  misura
</t>
    </r>
    <r>
      <rPr>
        <sz val="9"/>
        <rFont val="Arial"/>
        <family val="2"/>
      </rPr>
      <t>sull'eccedenza i parametri Q.c.I.09 assumono valore doppio</t>
    </r>
  </si>
  <si>
    <r>
      <t xml:space="preserve">Contabilità dei lavori a  corpo
</t>
    </r>
    <r>
      <rPr>
        <sz val="9"/>
        <rFont val="Arial"/>
        <family val="2"/>
      </rPr>
      <t>sull'eccedenza i parametri Q.c.I.10 assumono valore doppio</t>
    </r>
  </si>
  <si>
    <t xml:space="preserve">Impianti termoelettrici-Impianti dell'elettrochimica - Impianti della elettrometallurgia - Laboratori con ridotte problematiche tecniche </t>
  </si>
  <si>
    <t xml:space="preserve">Gli impianti precedentemente esposti quando siano di complessità particolarmente rilevante o comportanti rischi e problematiche ambientali molto rilevanti </t>
  </si>
  <si>
    <t>SCHEMA COMPETENZE TECNICHE RELATIVE A:</t>
  </si>
  <si>
    <t xml:space="preserve">  b.I)    PROGETTAZIONE PRELIMINARE</t>
  </si>
  <si>
    <t xml:space="preserve">Classi e Categ.
</t>
  </si>
  <si>
    <t xml:space="preserve">Sommatoria delle Aliquote delle prestazioni Q.i  da espletare per ogni scaglione di importo espresso in migliaia di euro
</t>
  </si>
  <si>
    <t>Relazione geologica
 (art.19, comma 1, DPR 207/2010)</t>
  </si>
  <si>
    <t>Paesaggio, ambiente, naturalizzazione</t>
  </si>
  <si>
    <t xml:space="preserve">Elaborazioni, analisi e valutazioni con modelli numerici, software dedicati, (incendi boschivi, diffusione inquinanti, idrologia ed idrogeologia, regimazione delle acque, idraulica, colate di fango e di detriti, esondazioni, aree di pericolo, stabilità dei pendii, filtrazioni, reti ecologiche e dinamiche ecologiche) (d.Lgs 152/2006 – All.VI-VII) </t>
  </si>
  <si>
    <r>
      <t xml:space="preserve">Elaborazioni, analisi e valutazioni con modelli numerici, software dedicati, (incendi boschivi, diffusione inquinanti, </t>
    </r>
    <r>
      <rPr>
        <b/>
        <sz val="10"/>
        <rFont val="Arial"/>
        <family val="2"/>
      </rPr>
      <t>idrologia ed idrogeologia,</t>
    </r>
    <r>
      <rPr>
        <sz val="10"/>
        <rFont val="Arial"/>
        <family val="2"/>
      </rPr>
      <t xml:space="preserve"> regimazione delle acque, idraulica, </t>
    </r>
    <r>
      <rPr>
        <b/>
        <sz val="10"/>
        <rFont val="Arial"/>
        <family val="2"/>
      </rPr>
      <t>colate di fango e di detriti, esondazioni, aree di pericolo, stabilità dei pendii, filtrazioni,</t>
    </r>
    <r>
      <rPr>
        <sz val="10"/>
        <rFont val="Arial"/>
        <family val="2"/>
      </rPr>
      <t xml:space="preserve"> reti ecologiche e dinamiche ecologiche) (d.Lgs 152/2006 – All.VI-VII) </t>
    </r>
  </si>
  <si>
    <t xml:space="preserve">Qa.III.03 </t>
  </si>
  <si>
    <t xml:space="preserve">VALORIZZARE SOLTANTO I CAMPI DELLE CELLE IN GIALLO (IMMETTENDO UN "SI" SE E' RICHIESTA LA PRESTAZIONE).
 PER SEMPLICITA' L'OPERAZIONE DI IMMISSIONE O DI DISATTIVAZIONE,  PUO' ESSERE EFFETTUATA UTILIZZANDO IL MENU' A CASCATA CHE SI ATTIVA, ACCANTO ALLA CELLA DA VALORIZZARE, CLICCANDO CON IL MOUSE SULLA CELLA STESSA </t>
  </si>
  <si>
    <t>Parametro
 Q</t>
  </si>
  <si>
    <t>SCHEMA COMPETENZE TECNICHE PER PRESTAZIONI GEOLOGICHE RELATIVE A:</t>
  </si>
  <si>
    <t>INTERVENTO:</t>
  </si>
  <si>
    <t xml:space="preserve"> Aliquota relativa ai Rilievi, Studi ed Analisi</t>
  </si>
  <si>
    <t>b.II)
   PROGETTAZIONE DEFINITIVA</t>
  </si>
  <si>
    <t xml:space="preserve">a.III)   RILIEVI 
STUDI  ED 
ANALISI </t>
  </si>
  <si>
    <t>c.I)
   ESECUZIONE
 DEI  LAVORI</t>
  </si>
  <si>
    <t xml:space="preserve">Studi di prefattibilità ambientale </t>
  </si>
  <si>
    <t xml:space="preserve">Piano di monitoraggio ambientale </t>
  </si>
  <si>
    <t xml:space="preserve">Studio di impatto ambientale o di fattibilità 
ambientale (VIA-VAS- AIA) –  </t>
  </si>
  <si>
    <r>
      <rPr>
        <sz val="9"/>
        <rFont val="Symbol"/>
        <family val="1"/>
      </rPr>
      <t>å</t>
    </r>
    <r>
      <rPr>
        <sz val="9"/>
        <rFont val="Arial"/>
        <family val="2"/>
      </rPr>
      <t xml:space="preserve">Q.i per ogni scaglione </t>
    </r>
  </si>
  <si>
    <r>
      <t>Relazione geologica (art.19, comma 1, DPR 207/2010)</t>
    </r>
    <r>
      <rPr>
        <sz val="9"/>
        <color indexed="10"/>
        <rFont val="Arial"/>
        <family val="2"/>
      </rPr>
      <t xml:space="preserve"> VEDI "PARC GEOLOGO"</t>
    </r>
  </si>
  <si>
    <r>
      <t xml:space="preserve">Relazione geologica (art.19, comma 1, DPR 207/2010) </t>
    </r>
    <r>
      <rPr>
        <sz val="9"/>
        <color indexed="10"/>
        <rFont val="Arial"/>
        <family val="2"/>
      </rPr>
      <t>VEDI "PARC GEOLOGO"</t>
    </r>
  </si>
  <si>
    <r>
      <t xml:space="preserve">Ufficio della direzione lavori, per ogni addetto con qualifica di direttore operativo "GEOLOGO"  (art.149 DPR. 207/2010) </t>
    </r>
    <r>
      <rPr>
        <sz val="9"/>
        <color indexed="10"/>
        <rFont val="Arial"/>
        <family val="2"/>
      </rPr>
      <t>VEDI "PARC GEOLOGO"</t>
    </r>
  </si>
  <si>
    <t>SOMMA COMPLESSIVA  ALIQUOTE Q.i</t>
  </si>
  <si>
    <t xml:space="preserve">Grado di comples-sità </t>
  </si>
  <si>
    <t>Aliquota Rimb. Spese</t>
  </si>
  <si>
    <t>da Tab Z-1</t>
  </si>
  <si>
    <t>da Tab.Z-2 allegata al D.M. 17/06/2016</t>
  </si>
  <si>
    <t xml:space="preserve">Sedi ed Uffici di Società ed Enti, Sedi ed Uffici comunali, Sedi ed Uffici
provinciali, Sedi ed Uffici regionali, Sedi ed Uffici ministeriali, Pretura,
Tribunale, Palazzo di giustizia, Penitenziari, Caserme con corredi tecnici
di importanza maggiore, Questura </t>
  </si>
  <si>
    <t>Impianti industriali – Impianti pilota e impianti di depurazione complessi -
Discariche con trattamenti e termovalorizzatori</t>
  </si>
  <si>
    <t>TABELLA Z-1 ALLEGATA AL D.M. 17/06/2016
CATEGORIE DELLE OPERE - PARAMETRI DEL GRADO DI COMPLESSITA' - 
CLASSIFICAZIONE DEI SERVIZI E CORRISPONDENZE</t>
  </si>
  <si>
    <t>ID 
Opere</t>
  </si>
  <si>
    <t>Paesaggio, ambiente, naturalizzaz.</t>
  </si>
  <si>
    <t xml:space="preserve"> CATEGORIE: </t>
  </si>
  <si>
    <t>da T. Z-1</t>
  </si>
  <si>
    <t>TOTALE COMPLESSIVO DEI CORRISPETTIVI  €</t>
  </si>
  <si>
    <t>TOTALE LAVORI €</t>
  </si>
  <si>
    <t>d.I) 
VERIFICHE E COLLAUDI</t>
  </si>
  <si>
    <t>Totali</t>
  </si>
  <si>
    <t>Parametri Qi per ogni singola prestazione da espletare</t>
  </si>
  <si>
    <t>Parametri Qi raggruppati per ciascuna
 fase prestazionale da espletare</t>
  </si>
  <si>
    <t xml:space="preserve">b.I)    
PROGETTAZIONE PRELIMINARE  </t>
  </si>
  <si>
    <t>b.II)    
PROGETTAZIONE DEFINITIVA</t>
  </si>
  <si>
    <t>b.III)    
PROGETTAZIONE ESECUTIVA</t>
  </si>
  <si>
    <t>c.I)   
ESECUZIONE DEI LAVORI</t>
  </si>
  <si>
    <t>e.I) 
MONITORAGGI</t>
  </si>
  <si>
    <t xml:space="preserve">a.IV) PIANI ECONOMICI </t>
  </si>
  <si>
    <t>a.III) RILIEVI 
STUDI ED ANALISI</t>
  </si>
  <si>
    <t>a.II)  STIME E 
VALUTAZIONI</t>
  </si>
  <si>
    <t xml:space="preserve">Relazioni generale e tecniche, Elaborati grafici, Calcolo delle strutture e degli impianti, 
eventuali Relazione sulla risoluzione delle interferenze e Relazione sulla gestione delle materie </t>
  </si>
  <si>
    <t xml:space="preserve">Relazione idraulica </t>
  </si>
  <si>
    <t>Supporto al RUP: supervisione e coordinamento della progettazione definitiva</t>
  </si>
  <si>
    <t>Sede Azienda Sanitaria, Distretto sanitario, Ambulatori di base, Asilo
Nido, Scuola Materna, Scuola elementare, Scuole secondarie di primo
grado fino a 24 classi, Scuole secondarie di secondo grado fino a 25
classi</t>
  </si>
  <si>
    <t>SCHEMA COMPLESSIVO COMPETENZE TECNICHE</t>
  </si>
  <si>
    <t>IMPORTI (€)</t>
  </si>
  <si>
    <t>CONTABILITA'</t>
  </si>
  <si>
    <t>Compensi, Rimborso spese ed oneri accessori relativi a:</t>
  </si>
  <si>
    <r>
      <t xml:space="preserve">Scaglioni di importi espressi in milioni di euro relativi alle sole aliquote: </t>
    </r>
    <r>
      <rPr>
        <b/>
        <sz val="10"/>
        <rFont val="Arial"/>
        <family val="2"/>
      </rPr>
      <t>Qb.I.17/18 Qb.II.24/25</t>
    </r>
  </si>
  <si>
    <t>Studi Ambientali (VIA-VAS- AIA)
 e monitoraggi
Prog. Preliminare</t>
  </si>
  <si>
    <t>Studi Ambientali (VIA-VAS- AIA)
 e monitoraggi
Prog. Definitivo</t>
  </si>
  <si>
    <t>&gt;20</t>
  </si>
  <si>
    <t>Prodotto:
(V*P*G)*
(1+Rimb.Sp.)</t>
  </si>
  <si>
    <t>17.06.
2016</t>
  </si>
  <si>
    <r>
      <rPr>
        <b/>
        <sz val="9"/>
        <rFont val="Arial"/>
        <family val="2"/>
      </rPr>
      <t>ID</t>
    </r>
    <r>
      <rPr>
        <sz val="9"/>
        <rFont val="Arial"/>
        <family val="2"/>
      </rPr>
      <t xml:space="preserve"> Opere </t>
    </r>
  </si>
  <si>
    <t>TOTALE DEI CORRISPETTIVI €</t>
  </si>
  <si>
    <t>COLONNA DI CONTROLLO</t>
  </si>
  <si>
    <t>TOTALE</t>
  </si>
  <si>
    <t>Altro</t>
  </si>
  <si>
    <t>SPECIFICARE (es. Archeologo)</t>
  </si>
  <si>
    <t>TOTALE COMPLESSIVO PARCELLA</t>
  </si>
  <si>
    <t>III</t>
  </si>
  <si>
    <t>Impianti  per l'approvvigionamento, la preparazione e la distribuzione di acqua nell'interno di edifici o per scopi industriali - Impianti sanitari - Impianti di fognatura domestica od industriale ed opere relative al trattamento delle acque di rifiuto - Reti di distribuzione di combustibili liquidi o gassosi - Impianti per la distribuzione dell’aria compressa del vuoto e di gas medicali - Impianti e reti antincendio</t>
  </si>
  <si>
    <t>classi e categorie D.M. 18/11/71 (Geologi)</t>
  </si>
  <si>
    <t>18.11.71</t>
  </si>
  <si>
    <t>TOTALE PARZIALE</t>
  </si>
  <si>
    <t>TOTALE GENERALE</t>
  </si>
  <si>
    <t>SPECIFICARE (es. Antropologo)</t>
  </si>
  <si>
    <t>ALTRO SPECIFICARE (es. Archeologo)</t>
  </si>
  <si>
    <t>INARCASSA 4% su</t>
  </si>
  <si>
    <t>FASI PRESTAZIONALI</t>
  </si>
  <si>
    <t>PRESTAZIONI RICHIESTE</t>
  </si>
  <si>
    <t>Progettazione integrale e coordinata - Integrazione delle prestazioni specialistiche (art.90, comma 7, D.Lgs 163/2006)</t>
  </si>
  <si>
    <t>VALORIZZARE SOLTANTO I CAMPI DELLE CELLE DELLA COLONNA "C" AD ECCEZIONE DELLE CELLE DI COLORE ROSSO (IMMETTENDO UN "SI" SE E' RICHIESTA LA PRESTAZIONE). 
PER SEMPLICITA' L'OPERAZIONE DI IMMISSIONE O DI DISATTIVAZIONE,  PUO' ESSERE EFFETTUATA UTILIZZANDO IL MENU' A CASCATA CHE SI ATTIVA, ACCANTO ALLA CELLA DA VALORIZZARE, CLICCANDO CON IL MOUSE SULLA CELLA STESSA.
N.B. PER QUANTO RIGUARDA LA CONTABILITA' DEI LAVORI PUO' ESSERE SCELTA UNA SOLA OPZIONE, VALORIZZANDO CON UN "SI" LA CELLA ACCANTO A Qc.I.09 (Contabilità a misura)
 OPPURE LA CELLA ACCANTO A Qc.I.10 (Contabilità a corpo).</t>
  </si>
  <si>
    <t>Parametri Q</t>
  </si>
  <si>
    <t>Si/No</t>
  </si>
  <si>
    <t>EVENTUALE RIBASSO ED ULTERIORI SOMME PER IMPOSTE E TASSE DOVUTE, E TOTALE COMPLESSIVO PARCELLA</t>
  </si>
  <si>
    <t>CORRISPETTIVO RIBASSATO</t>
  </si>
  <si>
    <t>RIBASSO OFFERTO NELLA PERCENTUALE DEL</t>
  </si>
  <si>
    <t>EVENTUALE RIBASSO ED ULTERIORI SOMME PER IMPOSTE E TASSE DOVUTE, 
E TOTALE COMPLESSIVO PARCELLA</t>
  </si>
  <si>
    <t>SCHEMA COMPETENZE TECNICHE PER PREPARAZIONE DELLA PROPOSTA, RELATIVE A:</t>
  </si>
  <si>
    <t>TOTALE LAV.  €</t>
  </si>
  <si>
    <t>CNG nella % del</t>
  </si>
  <si>
    <t>su</t>
  </si>
  <si>
    <t>IVA nella % del</t>
  </si>
  <si>
    <t>IVA  nella percentuale del</t>
  </si>
  <si>
    <t>CNPAIA  nella percentuale del</t>
  </si>
  <si>
    <t>%  su</t>
  </si>
  <si>
    <t>= €</t>
  </si>
  <si>
    <t>D.M. 17.
06.
2016</t>
  </si>
  <si>
    <t>ID  Opere</t>
  </si>
  <si>
    <t>Totale Dirett. Operat. Geologo</t>
  </si>
  <si>
    <t>Aliquote delle prestazioni Qc.I.05.01  da espletare per ogni scaglione di importo espresso in migliaia di euro</t>
  </si>
  <si>
    <t xml:space="preserve">ID
 Opere </t>
  </si>
  <si>
    <t>PRESTAZIONI GEOLOGICHE IN FASE ESECUTIVA</t>
  </si>
  <si>
    <t>PRESTAZIONI GEOLOGICHE DI PROGETTAZIONE</t>
  </si>
  <si>
    <t>LAVORI DI RIQUALIFICAZIONE URBANA DEL CENTRO STORICO – 
RIQUALIFICAZIONE E VALORIZZAZIONE DELLA PIAZZA VITTORIO EMANUELE ORLANDO - CINISI (PA)</t>
  </si>
  <si>
    <r>
      <rPr>
        <b/>
        <sz val="10"/>
        <rFont val="Arial"/>
        <family val="2"/>
      </rPr>
      <t>V</t>
    </r>
    <r>
      <rPr>
        <sz val="10"/>
        <rFont val="Arial"/>
        <family val="2"/>
      </rPr>
      <t xml:space="preserve">  x   2</t>
    </r>
  </si>
  <si>
    <r>
      <rPr>
        <b/>
        <sz val="10"/>
        <rFont val="Arial"/>
        <family val="2"/>
      </rPr>
      <t>V</t>
    </r>
    <r>
      <rPr>
        <sz val="10"/>
        <rFont val="Arial"/>
        <family val="2"/>
      </rPr>
      <t xml:space="preserve">  x   0,8</t>
    </r>
  </si>
</sst>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
    <numFmt numFmtId="171" formatCode="0.000%"/>
    <numFmt numFmtId="172" formatCode="0.0000%"/>
    <numFmt numFmtId="173" formatCode="0.00000%"/>
    <numFmt numFmtId="174" formatCode="#,##0.000"/>
    <numFmt numFmtId="175" formatCode="0.0000000000"/>
    <numFmt numFmtId="176" formatCode="0.0000"/>
    <numFmt numFmtId="177" formatCode="0.000"/>
    <numFmt numFmtId="178" formatCode="_-* #,##0.0000_-;\-* #,##0.0000_-;_-* &quot;-&quot;??_-;_-@_-"/>
    <numFmt numFmtId="179" formatCode="&quot;Sì&quot;;&quot;Sì&quot;;&quot;No&quot;"/>
    <numFmt numFmtId="180" formatCode="&quot;Vero&quot;;&quot;Vero&quot;;&quot;Falso&quot;"/>
    <numFmt numFmtId="181" formatCode="&quot;Attivo&quot;;&quot;Attivo&quot;;&quot;Disattivo&quot;"/>
    <numFmt numFmtId="182" formatCode="#,##0.0000"/>
    <numFmt numFmtId="183" formatCode="&quot;L.&quot;\ #,##0"/>
    <numFmt numFmtId="184" formatCode="[$€-2]\ #,##0.00"/>
    <numFmt numFmtId="185" formatCode="0.00000"/>
    <numFmt numFmtId="186" formatCode="&quot;€&quot;\ #,##0.00"/>
    <numFmt numFmtId="187" formatCode="&quot;Attivo&quot;;&quot;Attivo&quot;;&quot;Inattivo&quot;"/>
    <numFmt numFmtId="188" formatCode="[$€-2]\ #.##000_);[Red]\([$€-2]\ #.##000\)"/>
    <numFmt numFmtId="189" formatCode="#,##0.0"/>
    <numFmt numFmtId="190" formatCode="[$-410]dddd\ d\ mmmm\ yyyy"/>
    <numFmt numFmtId="191" formatCode="d/m/yy;@"/>
    <numFmt numFmtId="192" formatCode="&quot;€&quot;\ #,##0"/>
  </numFmts>
  <fonts count="73">
    <font>
      <sz val="10"/>
      <name val="Arial"/>
      <family val="0"/>
    </font>
    <font>
      <b/>
      <sz val="10"/>
      <name val="Arial"/>
      <family val="2"/>
    </font>
    <font>
      <b/>
      <sz val="8"/>
      <name val="Arial"/>
      <family val="2"/>
    </font>
    <font>
      <sz val="8"/>
      <name val="Arial"/>
      <family val="2"/>
    </font>
    <font>
      <sz val="10"/>
      <color indexed="16"/>
      <name val="Arial"/>
      <family val="2"/>
    </font>
    <font>
      <b/>
      <sz val="9"/>
      <name val="Arial"/>
      <family val="2"/>
    </font>
    <font>
      <b/>
      <sz val="11"/>
      <name val="Arial"/>
      <family val="2"/>
    </font>
    <font>
      <b/>
      <sz val="12"/>
      <name val="Arial"/>
      <family val="2"/>
    </font>
    <font>
      <sz val="9"/>
      <name val="Arial"/>
      <family val="2"/>
    </font>
    <font>
      <sz val="11"/>
      <name val="Arial"/>
      <family val="2"/>
    </font>
    <font>
      <b/>
      <i/>
      <sz val="10"/>
      <name val="Arial"/>
      <family val="2"/>
    </font>
    <font>
      <b/>
      <sz val="12"/>
      <color indexed="8"/>
      <name val="Arial"/>
      <family val="2"/>
    </font>
    <font>
      <b/>
      <sz val="11"/>
      <color indexed="8"/>
      <name val="Arial"/>
      <family val="2"/>
    </font>
    <font>
      <sz val="11"/>
      <color indexed="8"/>
      <name val="Arial"/>
      <family val="2"/>
    </font>
    <font>
      <sz val="11"/>
      <color indexed="16"/>
      <name val="Arial"/>
      <family val="2"/>
    </font>
    <font>
      <sz val="9"/>
      <color indexed="10"/>
      <name val="Arial"/>
      <family val="2"/>
    </font>
    <font>
      <b/>
      <i/>
      <sz val="11"/>
      <name val="Arial"/>
      <family val="2"/>
    </font>
    <font>
      <b/>
      <sz val="10"/>
      <name val="Symbol"/>
      <family val="1"/>
    </font>
    <font>
      <sz val="9"/>
      <name val="Symbol"/>
      <family val="1"/>
    </font>
    <font>
      <b/>
      <sz val="11"/>
      <color indexed="39"/>
      <name val="Arial"/>
      <family val="2"/>
    </font>
    <font>
      <sz val="11"/>
      <name val="Calibri"/>
      <family val="2"/>
    </font>
    <font>
      <b/>
      <i/>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9"/>
      <color indexed="10"/>
      <name val="Arial"/>
      <family val="2"/>
    </font>
    <font>
      <b/>
      <sz val="10"/>
      <color indexed="9"/>
      <name val="Arial"/>
      <family val="2"/>
    </font>
    <font>
      <b/>
      <sz val="10"/>
      <color indexed="10"/>
      <name val="Arial"/>
      <family val="2"/>
    </font>
    <font>
      <sz val="8"/>
      <color indexed="9"/>
      <name val="Arial"/>
      <family val="2"/>
    </font>
    <font>
      <b/>
      <sz val="11"/>
      <color indexed="10"/>
      <name val="Arial"/>
      <family val="2"/>
    </font>
    <font>
      <b/>
      <sz val="11"/>
      <color indexed="9"/>
      <name val="Arial"/>
      <family val="2"/>
    </font>
    <font>
      <sz val="8"/>
      <name val="Segoe U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9"/>
      <color rgb="FFFF0000"/>
      <name val="Arial"/>
      <family val="2"/>
    </font>
    <font>
      <b/>
      <sz val="10"/>
      <color theme="0"/>
      <name val="Arial"/>
      <family val="2"/>
    </font>
    <font>
      <b/>
      <sz val="10"/>
      <color rgb="FFFF0000"/>
      <name val="Arial"/>
      <family val="2"/>
    </font>
    <font>
      <sz val="8"/>
      <color theme="0"/>
      <name val="Arial"/>
      <family val="2"/>
    </font>
    <font>
      <b/>
      <sz val="11"/>
      <color rgb="FFFF0000"/>
      <name val="Arial"/>
      <family val="2"/>
    </font>
    <font>
      <b/>
      <sz val="11"/>
      <color theme="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0000"/>
        <bgColor indexed="64"/>
      </patternFill>
    </fill>
    <fill>
      <patternFill patternType="solid">
        <fgColor rgb="FFFFCC66"/>
        <bgColor indexed="64"/>
      </patternFill>
    </fill>
    <fill>
      <patternFill patternType="solid">
        <fgColor rgb="FFFFFF00"/>
        <bgColor indexed="64"/>
      </patternFill>
    </fill>
    <fill>
      <patternFill patternType="solid">
        <fgColor rgb="FFFF99FF"/>
        <bgColor indexed="64"/>
      </patternFill>
    </fill>
    <fill>
      <patternFill patternType="solid">
        <fgColor rgb="FF66FFFF"/>
        <bgColor indexed="64"/>
      </patternFill>
    </fill>
    <fill>
      <patternFill patternType="solid">
        <fgColor rgb="FFFFC00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indexed="31"/>
        <bgColor indexed="64"/>
      </patternFill>
    </fill>
    <fill>
      <patternFill patternType="solid">
        <fgColor theme="3" tint="0.5999900102615356"/>
        <bgColor indexed="64"/>
      </patternFill>
    </fill>
    <fill>
      <patternFill patternType="solid">
        <fgColor rgb="FF99FF99"/>
        <bgColor indexed="64"/>
      </patternFill>
    </fill>
    <fill>
      <patternFill patternType="solid">
        <fgColor rgb="FF00FFFF"/>
        <bgColor indexed="64"/>
      </patternFill>
    </fill>
    <fill>
      <patternFill patternType="solid">
        <fgColor rgb="FF66FF33"/>
        <bgColor indexed="64"/>
      </patternFill>
    </fill>
    <fill>
      <patternFill patternType="solid">
        <fgColor theme="3" tint="0.7999799847602844"/>
        <bgColor indexed="64"/>
      </patternFill>
    </fill>
    <fill>
      <patternFill patternType="solid">
        <fgColor rgb="FF00FF00"/>
        <bgColor indexed="64"/>
      </patternFill>
    </fill>
    <fill>
      <patternFill patternType="solid">
        <fgColor rgb="FF92D050"/>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thin"/>
      <top style="thin"/>
      <bottom style="double"/>
    </border>
    <border>
      <left style="thin"/>
      <right style="thin"/>
      <top style="thin"/>
      <bottom>
        <color indexed="63"/>
      </bottom>
    </border>
    <border>
      <left style="thin"/>
      <right style="thin"/>
      <top>
        <color indexed="63"/>
      </top>
      <bottom style="thin"/>
    </border>
    <border>
      <left style="thin"/>
      <right style="thin"/>
      <top style="double"/>
      <bottom style="thin"/>
    </border>
    <border>
      <left style="thin"/>
      <right style="thin"/>
      <top>
        <color indexed="63"/>
      </top>
      <bottom style="double"/>
    </border>
    <border>
      <left style="thin"/>
      <right style="thin"/>
      <top>
        <color indexed="63"/>
      </top>
      <bottom>
        <color indexed="63"/>
      </bottom>
    </border>
    <border>
      <left style="thin"/>
      <right style="thin"/>
      <top style="double"/>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medium"/>
      <right style="medium"/>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medium"/>
      <top style="thin"/>
      <bottom style="thin"/>
    </border>
    <border>
      <left style="thin"/>
      <right style="medium"/>
      <top style="thin"/>
      <bottom style="medium"/>
    </border>
    <border>
      <left style="thin"/>
      <right style="thin"/>
      <top>
        <color indexed="63"/>
      </top>
      <bottom style="medium"/>
    </border>
    <border>
      <left style="thin"/>
      <right>
        <color indexed="63"/>
      </right>
      <top style="thin"/>
      <bottom style="thin"/>
    </border>
    <border>
      <left style="medium"/>
      <right style="thin"/>
      <top>
        <color indexed="63"/>
      </top>
      <bottom style="medium"/>
    </border>
    <border>
      <left style="thin"/>
      <right style="medium"/>
      <top style="medium"/>
      <bottom style="thin"/>
    </border>
    <border>
      <left style="thin"/>
      <right>
        <color indexed="63"/>
      </right>
      <top style="medium"/>
      <bottom>
        <color indexed="63"/>
      </bottom>
    </border>
    <border>
      <left style="thin"/>
      <right>
        <color indexed="63"/>
      </right>
      <top>
        <color indexed="63"/>
      </top>
      <bottom style="medium"/>
    </border>
    <border>
      <left style="thin"/>
      <right style="medium"/>
      <top>
        <color indexed="63"/>
      </top>
      <bottom style="medium"/>
    </border>
    <border>
      <left>
        <color indexed="63"/>
      </left>
      <right style="thin"/>
      <top style="medium"/>
      <bottom style="thin"/>
    </border>
    <border>
      <left>
        <color indexed="63"/>
      </left>
      <right style="thin"/>
      <top>
        <color indexed="63"/>
      </top>
      <bottom style="medium"/>
    </border>
    <border>
      <left style="thin"/>
      <right>
        <color indexed="63"/>
      </right>
      <top style="thin"/>
      <bottom style="medium"/>
    </border>
    <border>
      <left>
        <color indexed="63"/>
      </left>
      <right>
        <color indexed="63"/>
      </right>
      <top style="medium"/>
      <bottom style="thin"/>
    </border>
    <border>
      <left style="thin"/>
      <right>
        <color indexed="63"/>
      </right>
      <top style="thin"/>
      <bottom>
        <color indexed="63"/>
      </bottom>
    </border>
    <border>
      <left style="medium"/>
      <right>
        <color indexed="63"/>
      </right>
      <top style="medium"/>
      <bottom style="medium"/>
    </border>
    <border>
      <left style="thin"/>
      <right>
        <color indexed="63"/>
      </right>
      <top style="medium"/>
      <bottom style="medium"/>
    </border>
    <border>
      <left style="thin"/>
      <right style="medium"/>
      <top style="medium"/>
      <bottom style="medium"/>
    </border>
    <border>
      <left style="thin"/>
      <right>
        <color indexed="63"/>
      </right>
      <top style="medium"/>
      <bottom style="thin"/>
    </border>
    <border>
      <left style="medium"/>
      <right style="thin"/>
      <top>
        <color indexed="63"/>
      </top>
      <bottom>
        <color indexed="63"/>
      </bottom>
    </border>
    <border>
      <left style="medium"/>
      <right>
        <color indexed="63"/>
      </right>
      <top style="thin"/>
      <bottom style="thin"/>
    </border>
    <border>
      <left style="medium"/>
      <right style="thin"/>
      <top>
        <color indexed="63"/>
      </top>
      <bottom style="thin"/>
    </border>
    <border>
      <left style="medium"/>
      <right style="thin"/>
      <top style="thin"/>
      <bottom>
        <color indexed="63"/>
      </bottom>
    </border>
    <border>
      <left style="thin"/>
      <right style="medium"/>
      <top style="thin"/>
      <bottom>
        <color indexed="63"/>
      </bottom>
    </border>
    <border>
      <left>
        <color indexed="63"/>
      </left>
      <right style="medium"/>
      <top>
        <color indexed="63"/>
      </top>
      <bottom>
        <color indexed="63"/>
      </bottom>
    </border>
    <border>
      <left style="medium"/>
      <right style="medium"/>
      <top>
        <color indexed="63"/>
      </top>
      <bottom>
        <color indexed="63"/>
      </bottom>
    </border>
    <border>
      <left style="thin"/>
      <right>
        <color indexed="63"/>
      </right>
      <top>
        <color indexed="63"/>
      </top>
      <bottom>
        <color indexed="63"/>
      </bottom>
    </border>
    <border>
      <left style="medium"/>
      <right style="medium"/>
      <top style="medium"/>
      <bottom style="medium"/>
    </border>
    <border>
      <left>
        <color indexed="63"/>
      </left>
      <right style="medium"/>
      <top style="thin"/>
      <bottom style="thin"/>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style="thin"/>
      <right style="medium"/>
      <top style="thin"/>
      <bottom style="double"/>
    </border>
    <border>
      <left style="thin"/>
      <right style="medium"/>
      <top style="double"/>
      <bottom style="thin"/>
    </border>
    <border>
      <left style="thin"/>
      <right style="medium"/>
      <top style="double"/>
      <bottom style="mediu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medium"/>
      <top>
        <color indexed="63"/>
      </top>
      <bottom style="double"/>
    </border>
    <border>
      <left style="medium"/>
      <right style="thin"/>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medium"/>
      <top style="thin"/>
      <bottom>
        <color indexed="63"/>
      </bottom>
    </border>
    <border>
      <left style="medium"/>
      <right style="medium"/>
      <top>
        <color indexed="63"/>
      </top>
      <bottom style="thin"/>
    </border>
    <border>
      <left style="medium"/>
      <right style="medium"/>
      <top style="medium"/>
      <bottom>
        <color indexed="63"/>
      </bottom>
    </border>
    <border>
      <left>
        <color indexed="63"/>
      </left>
      <right style="thin"/>
      <top style="thin"/>
      <bottom style="medium"/>
    </border>
    <border>
      <left style="medium"/>
      <right style="medium"/>
      <top style="medium"/>
      <bottom style="thin"/>
    </border>
    <border>
      <left style="medium"/>
      <right style="medium"/>
      <top style="thin"/>
      <bottom style="medium"/>
    </border>
    <border>
      <left>
        <color indexed="63"/>
      </left>
      <right style="thin"/>
      <top style="thin"/>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style="thin"/>
    </border>
    <border>
      <left style="medium"/>
      <right>
        <color indexed="63"/>
      </right>
      <top style="medium"/>
      <bottom style="thin"/>
    </border>
    <border>
      <left style="medium"/>
      <right>
        <color indexed="63"/>
      </right>
      <top>
        <color indexed="63"/>
      </top>
      <bottom style="thin"/>
    </border>
    <border>
      <left style="medium"/>
      <right>
        <color indexed="63"/>
      </right>
      <top style="medium"/>
      <bottom>
        <color indexed="63"/>
      </bottom>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1" applyNumberFormat="0" applyAlignment="0" applyProtection="0"/>
    <xf numFmtId="0" fontId="51" fillId="0" borderId="2" applyNumberFormat="0" applyFill="0" applyAlignment="0" applyProtection="0"/>
    <xf numFmtId="0" fontId="52" fillId="21" borderId="3"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0" fontId="57" fillId="20" borderId="5"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63" fillId="0" borderId="8" applyNumberFormat="0" applyFill="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31" borderId="0" applyNumberFormat="0" applyBorder="0" applyAlignment="0" applyProtection="0"/>
    <xf numFmtId="0" fontId="66"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658">
    <xf numFmtId="0" fontId="0" fillId="0" borderId="0" xfId="0" applyAlignment="1">
      <alignment/>
    </xf>
    <xf numFmtId="0" fontId="1" fillId="0" borderId="0" xfId="0" applyFont="1" applyAlignment="1">
      <alignment/>
    </xf>
    <xf numFmtId="0" fontId="0" fillId="0" borderId="0" xfId="0" applyAlignment="1">
      <alignment vertical="center" wrapText="1"/>
    </xf>
    <xf numFmtId="0" fontId="1" fillId="0" borderId="0" xfId="0" applyFont="1" applyAlignment="1">
      <alignment horizontal="center" vertical="center"/>
    </xf>
    <xf numFmtId="0" fontId="2" fillId="0" borderId="10" xfId="0" applyFont="1" applyBorder="1" applyAlignment="1">
      <alignment horizontal="center" vertical="center" wrapText="1"/>
    </xf>
    <xf numFmtId="0" fontId="3" fillId="0" borderId="10" xfId="0" applyFont="1" applyBorder="1" applyAlignment="1">
      <alignment horizontal="center" vertical="center"/>
    </xf>
    <xf numFmtId="0" fontId="1" fillId="0" borderId="10" xfId="0" applyFont="1" applyBorder="1" applyAlignment="1">
      <alignment horizontal="center" vertical="center" wrapText="1"/>
    </xf>
    <xf numFmtId="0" fontId="3" fillId="0" borderId="10" xfId="0" applyFont="1" applyFill="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0" fillId="0" borderId="10" xfId="0" applyFont="1" applyBorder="1" applyAlignment="1">
      <alignment wrapText="1"/>
    </xf>
    <xf numFmtId="0" fontId="0" fillId="0" borderId="0" xfId="0" applyFont="1" applyAlignment="1">
      <alignment/>
    </xf>
    <xf numFmtId="0" fontId="0" fillId="0" borderId="0" xfId="0" applyBorder="1" applyAlignment="1">
      <alignment horizontal="center" wrapText="1"/>
    </xf>
    <xf numFmtId="0" fontId="0" fillId="0" borderId="13" xfId="0" applyFont="1" applyBorder="1" applyAlignment="1">
      <alignment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0" fillId="0" borderId="0" xfId="0" applyFill="1" applyAlignment="1">
      <alignment/>
    </xf>
    <xf numFmtId="4" fontId="11" fillId="0" borderId="16" xfId="0" applyNumberFormat="1" applyFont="1" applyFill="1" applyBorder="1" applyAlignment="1" applyProtection="1">
      <alignment horizontal="center" vertical="center" wrapText="1"/>
      <protection/>
    </xf>
    <xf numFmtId="0" fontId="8" fillId="0" borderId="10" xfId="0" applyFont="1" applyFill="1" applyBorder="1" applyAlignment="1">
      <alignment vertical="center" wrapText="1"/>
    </xf>
    <xf numFmtId="6" fontId="8" fillId="0" borderId="10" xfId="0" applyNumberFormat="1" applyFont="1" applyFill="1" applyBorder="1" applyAlignment="1">
      <alignment vertical="center" wrapText="1"/>
    </xf>
    <xf numFmtId="0" fontId="5" fillId="0" borderId="17" xfId="0" applyFont="1" applyFill="1" applyBorder="1" applyAlignment="1">
      <alignment horizontal="center" vertical="center" wrapText="1"/>
    </xf>
    <xf numFmtId="4" fontId="4" fillId="0" borderId="10" xfId="0" applyNumberFormat="1" applyFont="1" applyFill="1" applyBorder="1" applyAlignment="1" applyProtection="1">
      <alignment horizontal="left" vertical="center" wrapText="1"/>
      <protection locked="0"/>
    </xf>
    <xf numFmtId="4" fontId="4" fillId="0" borderId="16" xfId="0" applyNumberFormat="1" applyFont="1" applyFill="1" applyBorder="1" applyAlignment="1" applyProtection="1">
      <alignment horizontal="left" vertical="center" wrapText="1"/>
      <protection locked="0"/>
    </xf>
    <xf numFmtId="0" fontId="3" fillId="0" borderId="10" xfId="0" applyFont="1" applyFill="1" applyBorder="1" applyAlignment="1" quotePrefix="1">
      <alignment horizontal="center" vertical="center"/>
    </xf>
    <xf numFmtId="0" fontId="3" fillId="0" borderId="10" xfId="0" applyFont="1" applyFill="1" applyBorder="1" applyAlignment="1">
      <alignment vertical="center"/>
    </xf>
    <xf numFmtId="0" fontId="1" fillId="0" borderId="0" xfId="0" applyFont="1" applyFill="1" applyAlignment="1">
      <alignment/>
    </xf>
    <xf numFmtId="4" fontId="12" fillId="0" borderId="10" xfId="0" applyNumberFormat="1" applyFont="1" applyFill="1" applyBorder="1" applyAlignment="1" applyProtection="1">
      <alignment horizontal="center" vertical="center" textRotation="90"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center" wrapText="1"/>
      <protection/>
    </xf>
    <xf numFmtId="4" fontId="11" fillId="0" borderId="18" xfId="0" applyNumberFormat="1" applyFont="1" applyFill="1" applyBorder="1" applyAlignment="1" applyProtection="1">
      <alignment horizontal="center" vertical="center" wrapText="1"/>
      <protection/>
    </xf>
    <xf numFmtId="4" fontId="4" fillId="0" borderId="18" xfId="0" applyNumberFormat="1" applyFont="1" applyFill="1" applyBorder="1" applyAlignment="1" applyProtection="1">
      <alignment horizontal="left" vertical="center" wrapText="1"/>
      <protection locked="0"/>
    </xf>
    <xf numFmtId="0" fontId="0" fillId="0" borderId="0" xfId="0" applyFont="1" applyFill="1" applyAlignment="1">
      <alignment horizontal="left" vertical="center"/>
    </xf>
    <xf numFmtId="0" fontId="9" fillId="0" borderId="0" xfId="0" applyFont="1" applyFill="1" applyAlignment="1">
      <alignment/>
    </xf>
    <xf numFmtId="4" fontId="14" fillId="0" borderId="10" xfId="0" applyNumberFormat="1" applyFont="1" applyFill="1" applyBorder="1" applyAlignment="1" applyProtection="1">
      <alignment horizontal="center" vertical="center" wrapText="1"/>
      <protection/>
    </xf>
    <xf numFmtId="4" fontId="14" fillId="0" borderId="16" xfId="0" applyNumberFormat="1" applyFont="1" applyFill="1" applyBorder="1" applyAlignment="1" applyProtection="1">
      <alignment horizontal="center" vertical="center" wrapText="1"/>
      <protection/>
    </xf>
    <xf numFmtId="4" fontId="14" fillId="0" borderId="18" xfId="0" applyNumberFormat="1" applyFont="1" applyFill="1" applyBorder="1" applyAlignment="1" applyProtection="1">
      <alignment horizontal="center" vertical="center" wrapText="1"/>
      <protection/>
    </xf>
    <xf numFmtId="4" fontId="13" fillId="0" borderId="10" xfId="0" applyNumberFormat="1" applyFont="1" applyFill="1" applyBorder="1" applyAlignment="1" applyProtection="1">
      <alignment horizontal="center" vertical="center" wrapText="1"/>
      <protection/>
    </xf>
    <xf numFmtId="4" fontId="13" fillId="0" borderId="16" xfId="0" applyNumberFormat="1" applyFont="1" applyFill="1" applyBorder="1" applyAlignment="1" applyProtection="1">
      <alignment horizontal="center" vertical="center" wrapText="1"/>
      <protection/>
    </xf>
    <xf numFmtId="4" fontId="13" fillId="0" borderId="18" xfId="0" applyNumberFormat="1" applyFont="1" applyFill="1" applyBorder="1" applyAlignment="1" applyProtection="1">
      <alignment horizontal="center" vertical="center" wrapText="1"/>
      <protection/>
    </xf>
    <xf numFmtId="0" fontId="9" fillId="0" borderId="10"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0" xfId="0" applyFont="1" applyFill="1" applyAlignment="1">
      <alignment wrapText="1"/>
    </xf>
    <xf numFmtId="0" fontId="9" fillId="0" borderId="22" xfId="0" applyFont="1" applyFill="1" applyBorder="1" applyAlignment="1">
      <alignment horizontal="left" vertical="center" wrapText="1"/>
    </xf>
    <xf numFmtId="4" fontId="11" fillId="0" borderId="19" xfId="0" applyNumberFormat="1" applyFont="1" applyFill="1" applyBorder="1" applyAlignment="1" applyProtection="1">
      <alignment horizontal="center" vertical="center" wrapText="1"/>
      <protection/>
    </xf>
    <xf numFmtId="4" fontId="4" fillId="0" borderId="19" xfId="0" applyNumberFormat="1" applyFont="1" applyFill="1" applyBorder="1" applyAlignment="1" applyProtection="1">
      <alignment horizontal="left" vertical="center" wrapText="1"/>
      <protection locked="0"/>
    </xf>
    <xf numFmtId="4" fontId="14" fillId="0" borderId="19" xfId="0" applyNumberFormat="1" applyFont="1" applyFill="1" applyBorder="1" applyAlignment="1" applyProtection="1">
      <alignment horizontal="center" vertical="center" wrapText="1"/>
      <protection/>
    </xf>
    <xf numFmtId="4" fontId="12" fillId="0" borderId="10" xfId="0" applyNumberFormat="1" applyFont="1" applyFill="1" applyBorder="1" applyAlignment="1" applyProtection="1">
      <alignment horizontal="center" vertical="center" wrapText="1"/>
      <protection/>
    </xf>
    <xf numFmtId="0" fontId="3" fillId="6" borderId="10" xfId="0" applyFont="1" applyFill="1" applyBorder="1" applyAlignment="1">
      <alignment horizontal="center" vertical="center"/>
    </xf>
    <xf numFmtId="0" fontId="5" fillId="33" borderId="2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6" fillId="13" borderId="10"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10" xfId="0" applyFont="1" applyBorder="1" applyAlignment="1">
      <alignment horizontal="center" vertical="center"/>
    </xf>
    <xf numFmtId="0" fontId="0" fillId="13" borderId="10" xfId="0" applyFont="1" applyFill="1" applyBorder="1" applyAlignment="1">
      <alignment horizontal="center" vertical="center" wrapText="1"/>
    </xf>
    <xf numFmtId="2" fontId="0" fillId="0" borderId="10" xfId="0" applyNumberFormat="1" applyFont="1" applyFill="1" applyBorder="1" applyAlignment="1">
      <alignment horizontal="center" vertical="center"/>
    </xf>
    <xf numFmtId="172" fontId="0" fillId="0" borderId="10" xfId="0" applyNumberFormat="1" applyFont="1" applyBorder="1" applyAlignment="1">
      <alignment horizontal="center" vertical="center"/>
    </xf>
    <xf numFmtId="177" fontId="0" fillId="0" borderId="10" xfId="0" applyNumberFormat="1" applyFont="1" applyFill="1" applyBorder="1" applyAlignment="1">
      <alignment horizontal="center" vertical="center"/>
    </xf>
    <xf numFmtId="4" fontId="0" fillId="0" borderId="10" xfId="0" applyNumberFormat="1" applyFont="1" applyBorder="1" applyAlignment="1">
      <alignment horizontal="right" vertical="center" wrapText="1"/>
    </xf>
    <xf numFmtId="0" fontId="0" fillId="0" borderId="0" xfId="0" applyFont="1" applyBorder="1" applyAlignment="1">
      <alignment/>
    </xf>
    <xf numFmtId="184" fontId="0" fillId="0" borderId="10" xfId="0" applyNumberFormat="1" applyFont="1" applyBorder="1" applyAlignment="1" quotePrefix="1">
      <alignment horizontal="center"/>
    </xf>
    <xf numFmtId="4" fontId="0" fillId="0" borderId="10" xfId="0" applyNumberFormat="1" applyFont="1" applyBorder="1" applyAlignment="1">
      <alignment horizontal="center"/>
    </xf>
    <xf numFmtId="4" fontId="1" fillId="7" borderId="10" xfId="0" applyNumberFormat="1" applyFont="1" applyFill="1" applyBorder="1" applyAlignment="1">
      <alignment horizontal="right" vertical="center"/>
    </xf>
    <xf numFmtId="0" fontId="0" fillId="0" borderId="0" xfId="0" applyFont="1" applyFill="1" applyAlignment="1">
      <alignment horizontal="center" vertical="center"/>
    </xf>
    <xf numFmtId="0" fontId="1" fillId="1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67" fillId="7" borderId="21"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34" borderId="26" xfId="0" applyFont="1" applyFill="1" applyBorder="1" applyAlignment="1">
      <alignment horizontal="center" vertical="center" wrapText="1"/>
    </xf>
    <xf numFmtId="0" fontId="5" fillId="35" borderId="25" xfId="0" applyFont="1" applyFill="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35" borderId="29" xfId="0" applyFont="1" applyFill="1" applyBorder="1" applyAlignment="1">
      <alignment horizontal="center" vertical="center" wrapText="1"/>
    </xf>
    <xf numFmtId="0" fontId="5" fillId="0" borderId="29" xfId="0" applyFont="1" applyBorder="1" applyAlignment="1">
      <alignment horizontal="center" vertical="center" wrapText="1"/>
    </xf>
    <xf numFmtId="0" fontId="0" fillId="0" borderId="14" xfId="0" applyFont="1" applyBorder="1" applyAlignment="1">
      <alignment horizontal="center" vertical="center"/>
    </xf>
    <xf numFmtId="0" fontId="0" fillId="0" borderId="30" xfId="0" applyFont="1" applyBorder="1" applyAlignment="1">
      <alignment horizontal="center" vertical="center"/>
    </xf>
    <xf numFmtId="4" fontId="1" fillId="0" borderId="30" xfId="0" applyNumberFormat="1" applyFont="1" applyBorder="1" applyAlignment="1">
      <alignment horizontal="right" vertical="center" wrapText="1"/>
    </xf>
    <xf numFmtId="4" fontId="1" fillId="0" borderId="13" xfId="0" applyNumberFormat="1" applyFont="1" applyBorder="1" applyAlignment="1">
      <alignment horizontal="right" vertical="center" wrapText="1"/>
    </xf>
    <xf numFmtId="0" fontId="0" fillId="0" borderId="13" xfId="0" applyFont="1" applyBorder="1" applyAlignment="1">
      <alignment horizontal="center" vertical="center" wrapText="1"/>
    </xf>
    <xf numFmtId="4" fontId="1" fillId="0" borderId="31" xfId="0" applyNumberFormat="1" applyFont="1" applyBorder="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2" xfId="0" applyFont="1" applyFill="1" applyBorder="1" applyAlignment="1">
      <alignment horizontal="center" vertical="center"/>
    </xf>
    <xf numFmtId="3" fontId="2" fillId="0" borderId="10" xfId="0" applyNumberFormat="1" applyFont="1" applyFill="1" applyBorder="1" applyAlignment="1">
      <alignment horizontal="center" vertical="center" wrapText="1"/>
    </xf>
    <xf numFmtId="0" fontId="1" fillId="36" borderId="33" xfId="0" applyFont="1" applyFill="1" applyBorder="1" applyAlignment="1">
      <alignment horizontal="center" vertical="center" wrapText="1"/>
    </xf>
    <xf numFmtId="0" fontId="5" fillId="35" borderId="32"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1" fillId="37" borderId="12" xfId="0" applyFont="1" applyFill="1" applyBorder="1" applyAlignment="1">
      <alignment horizontal="center" vertical="center" textRotation="90" wrapText="1"/>
    </xf>
    <xf numFmtId="0" fontId="1" fillId="37" borderId="35" xfId="0" applyFont="1" applyFill="1" applyBorder="1" applyAlignment="1">
      <alignment horizontal="center" vertical="center" textRotation="90" wrapText="1"/>
    </xf>
    <xf numFmtId="0" fontId="68" fillId="33" borderId="13" xfId="0" applyFont="1" applyFill="1" applyBorder="1" applyAlignment="1">
      <alignment horizontal="center" vertical="center"/>
    </xf>
    <xf numFmtId="0" fontId="6" fillId="34" borderId="32" xfId="0" applyFont="1" applyFill="1" applyBorder="1" applyAlignment="1">
      <alignment horizontal="center" vertical="center" wrapText="1"/>
    </xf>
    <xf numFmtId="0" fontId="1" fillId="37" borderId="36" xfId="0" applyFont="1" applyFill="1" applyBorder="1" applyAlignment="1">
      <alignment horizontal="center" vertical="center" wrapText="1"/>
    </xf>
    <xf numFmtId="0" fontId="1" fillId="38" borderId="32" xfId="0" applyFont="1" applyFill="1" applyBorder="1" applyAlignment="1">
      <alignment horizontal="center" vertical="center"/>
    </xf>
    <xf numFmtId="0" fontId="1" fillId="38" borderId="37" xfId="0" applyFont="1" applyFill="1" applyBorder="1" applyAlignment="1">
      <alignment horizontal="center" vertical="center"/>
    </xf>
    <xf numFmtId="0" fontId="1" fillId="38" borderId="38" xfId="0" applyFont="1" applyFill="1" applyBorder="1" applyAlignment="1">
      <alignment horizontal="center" vertical="center"/>
    </xf>
    <xf numFmtId="0" fontId="5" fillId="0" borderId="39" xfId="0" applyFont="1" applyBorder="1" applyAlignment="1">
      <alignment horizontal="center" vertical="center" wrapText="1"/>
    </xf>
    <xf numFmtId="0" fontId="3" fillId="0" borderId="12" xfId="0" applyFont="1" applyBorder="1" applyAlignment="1">
      <alignment horizontal="center" vertical="center"/>
    </xf>
    <xf numFmtId="0" fontId="6" fillId="33" borderId="34" xfId="0" applyFont="1" applyFill="1" applyBorder="1" applyAlignment="1">
      <alignment horizontal="center" vertical="center" textRotation="90" wrapText="1"/>
    </xf>
    <xf numFmtId="0" fontId="6" fillId="27" borderId="40" xfId="0" applyFont="1" applyFill="1" applyBorder="1" applyAlignment="1">
      <alignment horizontal="center" vertical="center" textRotation="90" wrapText="1"/>
    </xf>
    <xf numFmtId="0" fontId="6" fillId="33" borderId="40" xfId="0" applyFont="1" applyFill="1" applyBorder="1" applyAlignment="1">
      <alignment horizontal="center" vertical="center" textRotation="90" wrapText="1"/>
    </xf>
    <xf numFmtId="0" fontId="6" fillId="35" borderId="41" xfId="0" applyFont="1" applyFill="1" applyBorder="1" applyAlignment="1">
      <alignment horizontal="center" vertical="center" wrapText="1"/>
    </xf>
    <xf numFmtId="0" fontId="67" fillId="19" borderId="32" xfId="0" applyFont="1" applyFill="1" applyBorder="1" applyAlignment="1">
      <alignment horizontal="center" vertical="center"/>
    </xf>
    <xf numFmtId="0" fontId="2" fillId="0" borderId="12" xfId="0" applyFont="1" applyBorder="1" applyAlignment="1">
      <alignment horizontal="center" vertical="center" wrapText="1"/>
    </xf>
    <xf numFmtId="0" fontId="67" fillId="7" borderId="13" xfId="0" applyFont="1" applyFill="1" applyBorder="1" applyAlignment="1">
      <alignment horizontal="center" vertical="center"/>
    </xf>
    <xf numFmtId="0" fontId="67" fillId="7" borderId="31" xfId="0" applyFont="1" applyFill="1" applyBorder="1" applyAlignment="1">
      <alignment horizontal="center" vertical="center"/>
    </xf>
    <xf numFmtId="0" fontId="5" fillId="0" borderId="42" xfId="0" applyFont="1" applyBorder="1" applyAlignment="1">
      <alignment horizontal="center" vertical="center" wrapText="1"/>
    </xf>
    <xf numFmtId="0" fontId="3" fillId="10" borderId="12" xfId="0" applyFont="1" applyFill="1" applyBorder="1" applyAlignment="1">
      <alignment horizontal="center" vertical="center"/>
    </xf>
    <xf numFmtId="0" fontId="1" fillId="35" borderId="17" xfId="0" applyFont="1" applyFill="1" applyBorder="1" applyAlignment="1">
      <alignment horizontal="center" vertical="center"/>
    </xf>
    <xf numFmtId="0" fontId="68" fillId="33" borderId="29" xfId="0" applyFont="1" applyFill="1" applyBorder="1" applyAlignment="1">
      <alignment horizontal="center" vertical="center"/>
    </xf>
    <xf numFmtId="0" fontId="1" fillId="37" borderId="36" xfId="0" applyFont="1" applyFill="1" applyBorder="1" applyAlignment="1">
      <alignment horizontal="center" vertical="center" textRotation="90" wrapText="1"/>
    </xf>
    <xf numFmtId="0" fontId="1" fillId="35" borderId="43" xfId="0" applyFont="1" applyFill="1" applyBorder="1" applyAlignment="1">
      <alignment horizontal="center" vertical="center"/>
    </xf>
    <xf numFmtId="0" fontId="3" fillId="0" borderId="33" xfId="0" applyFont="1" applyFill="1" applyBorder="1" applyAlignment="1">
      <alignment horizontal="center" vertical="center"/>
    </xf>
    <xf numFmtId="0" fontId="67" fillId="19" borderId="37" xfId="0" applyFont="1" applyFill="1" applyBorder="1" applyAlignment="1">
      <alignment horizontal="center" vertical="center"/>
    </xf>
    <xf numFmtId="0" fontId="1" fillId="38" borderId="11" xfId="0" applyFont="1" applyFill="1" applyBorder="1" applyAlignment="1">
      <alignment horizontal="center" vertical="center"/>
    </xf>
    <xf numFmtId="0" fontId="1" fillId="38" borderId="12" xfId="0" applyFont="1" applyFill="1" applyBorder="1" applyAlignment="1">
      <alignment horizontal="center" vertical="center"/>
    </xf>
    <xf numFmtId="0" fontId="1" fillId="38" borderId="35" xfId="0" applyFont="1" applyFill="1" applyBorder="1" applyAlignment="1">
      <alignment horizontal="center" vertical="center"/>
    </xf>
    <xf numFmtId="0" fontId="5" fillId="35" borderId="11" xfId="0" applyFont="1" applyFill="1" applyBorder="1" applyAlignment="1">
      <alignment horizontal="center" vertical="center" textRotation="90" wrapText="1"/>
    </xf>
    <xf numFmtId="0" fontId="5" fillId="35" borderId="12" xfId="0" applyFont="1" applyFill="1" applyBorder="1" applyAlignment="1">
      <alignment horizontal="center" vertical="center" textRotation="90" wrapText="1"/>
    </xf>
    <xf numFmtId="0" fontId="5" fillId="35" borderId="35" xfId="0" applyFont="1" applyFill="1" applyBorder="1" applyAlignment="1">
      <alignment horizontal="center" vertical="center" textRotation="90" wrapText="1"/>
    </xf>
    <xf numFmtId="0" fontId="1" fillId="37" borderId="44" xfId="0" applyFont="1" applyFill="1" applyBorder="1" applyAlignment="1">
      <alignment horizontal="center" vertical="center" wrapText="1"/>
    </xf>
    <xf numFmtId="0" fontId="1" fillId="37" borderId="45" xfId="0" applyFont="1" applyFill="1" applyBorder="1" applyAlignment="1">
      <alignment horizontal="center" vertical="center" wrapText="1"/>
    </xf>
    <xf numFmtId="0" fontId="1" fillId="37" borderId="46" xfId="0" applyFont="1" applyFill="1" applyBorder="1" applyAlignment="1">
      <alignment horizontal="center" vertical="center" wrapText="1"/>
    </xf>
    <xf numFmtId="0" fontId="0" fillId="0" borderId="25" xfId="0" applyFill="1" applyBorder="1" applyAlignment="1">
      <alignment/>
    </xf>
    <xf numFmtId="191" fontId="8" fillId="0" borderId="10" xfId="0" applyNumberFormat="1" applyFont="1" applyBorder="1" applyAlignment="1">
      <alignment horizontal="center" vertical="center"/>
    </xf>
    <xf numFmtId="171" fontId="1" fillId="0" borderId="13" xfId="0" applyNumberFormat="1" applyFont="1" applyBorder="1" applyAlignment="1">
      <alignment horizontal="center" vertical="center"/>
    </xf>
    <xf numFmtId="4" fontId="1" fillId="0" borderId="30" xfId="0" applyNumberFormat="1" applyFont="1" applyBorder="1" applyAlignment="1">
      <alignment/>
    </xf>
    <xf numFmtId="4" fontId="0" fillId="0" borderId="30" xfId="0" applyNumberFormat="1" applyFont="1" applyBorder="1" applyAlignment="1">
      <alignment/>
    </xf>
    <xf numFmtId="184" fontId="0" fillId="0" borderId="13" xfId="0" applyNumberFormat="1" applyFont="1" applyBorder="1" applyAlignment="1" quotePrefix="1">
      <alignment horizontal="center"/>
    </xf>
    <xf numFmtId="4" fontId="1" fillId="0" borderId="31" xfId="0" applyNumberFormat="1" applyFont="1" applyBorder="1" applyAlignment="1">
      <alignment/>
    </xf>
    <xf numFmtId="0" fontId="0" fillId="0" borderId="13" xfId="0" applyFont="1" applyBorder="1" applyAlignment="1">
      <alignment horizontal="right" vertical="center" wrapText="1"/>
    </xf>
    <xf numFmtId="0" fontId="69" fillId="33" borderId="13" xfId="0" applyFont="1" applyFill="1" applyBorder="1" applyAlignment="1">
      <alignment horizontal="center" vertical="center"/>
    </xf>
    <xf numFmtId="0" fontId="1" fillId="0" borderId="10" xfId="0" applyFont="1" applyBorder="1" applyAlignment="1">
      <alignment horizontal="center" vertical="center"/>
    </xf>
    <xf numFmtId="0" fontId="3" fillId="39" borderId="32" xfId="0" applyFont="1" applyFill="1" applyBorder="1" applyAlignment="1">
      <alignment horizontal="center" vertical="center"/>
    </xf>
    <xf numFmtId="0" fontId="3" fillId="39" borderId="10" xfId="0" applyFont="1" applyFill="1" applyBorder="1" applyAlignment="1">
      <alignment horizontal="center" vertical="center"/>
    </xf>
    <xf numFmtId="0" fontId="3" fillId="39" borderId="13" xfId="0" applyFont="1" applyFill="1" applyBorder="1" applyAlignment="1">
      <alignment horizontal="center" vertical="center"/>
    </xf>
    <xf numFmtId="0" fontId="3" fillId="39" borderId="12" xfId="0" applyFont="1" applyFill="1" applyBorder="1" applyAlignment="1">
      <alignment horizontal="center" vertical="center"/>
    </xf>
    <xf numFmtId="177" fontId="70" fillId="0" borderId="0" xfId="0" applyNumberFormat="1" applyFont="1" applyAlignment="1">
      <alignment vertical="center" wrapText="1"/>
    </xf>
    <xf numFmtId="0" fontId="8" fillId="10" borderId="10" xfId="0" applyFont="1" applyFill="1" applyBorder="1" applyAlignment="1">
      <alignment vertical="center" wrapText="1"/>
    </xf>
    <xf numFmtId="0" fontId="8" fillId="10" borderId="13" xfId="0" applyFont="1" applyFill="1" applyBorder="1" applyAlignment="1">
      <alignment vertical="center" wrapText="1"/>
    </xf>
    <xf numFmtId="0" fontId="8" fillId="6" borderId="10" xfId="0" applyFont="1" applyFill="1" applyBorder="1" applyAlignment="1">
      <alignment vertical="center" wrapText="1"/>
    </xf>
    <xf numFmtId="0" fontId="8" fillId="6" borderId="12" xfId="0" applyFont="1" applyFill="1" applyBorder="1" applyAlignment="1">
      <alignment vertical="center" wrapText="1"/>
    </xf>
    <xf numFmtId="0" fontId="8" fillId="6" borderId="13" xfId="0" applyFont="1" applyFill="1" applyBorder="1" applyAlignment="1">
      <alignment vertical="center" wrapText="1"/>
    </xf>
    <xf numFmtId="0" fontId="8" fillId="7" borderId="12" xfId="0" applyFont="1" applyFill="1" applyBorder="1" applyAlignment="1">
      <alignment vertical="center" wrapText="1"/>
    </xf>
    <xf numFmtId="6" fontId="8" fillId="7" borderId="12" xfId="0" applyNumberFormat="1" applyFont="1" applyFill="1" applyBorder="1" applyAlignment="1">
      <alignment vertical="center" wrapText="1"/>
    </xf>
    <xf numFmtId="0" fontId="8" fillId="7" borderId="10" xfId="0" applyFont="1" applyFill="1" applyBorder="1" applyAlignment="1">
      <alignment vertical="center" wrapText="1"/>
    </xf>
    <xf numFmtId="6" fontId="8" fillId="7" borderId="10" xfId="0" applyNumberFormat="1" applyFont="1" applyFill="1" applyBorder="1" applyAlignment="1">
      <alignment vertical="center" wrapText="1"/>
    </xf>
    <xf numFmtId="0" fontId="8" fillId="7" borderId="13" xfId="0" applyFont="1" applyFill="1" applyBorder="1" applyAlignment="1">
      <alignment vertical="center" wrapText="1"/>
    </xf>
    <xf numFmtId="192" fontId="8" fillId="6" borderId="10" xfId="0" applyNumberFormat="1" applyFont="1" applyFill="1" applyBorder="1" applyAlignment="1">
      <alignment vertical="center" wrapText="1"/>
    </xf>
    <xf numFmtId="192" fontId="8" fillId="10" borderId="10" xfId="0" applyNumberFormat="1" applyFont="1" applyFill="1" applyBorder="1" applyAlignment="1">
      <alignment vertical="center" wrapText="1"/>
    </xf>
    <xf numFmtId="0" fontId="8" fillId="10" borderId="12" xfId="0" applyFont="1" applyFill="1" applyBorder="1" applyAlignment="1">
      <alignment vertical="center" wrapText="1"/>
    </xf>
    <xf numFmtId="192" fontId="8" fillId="10" borderId="12" xfId="0" applyNumberFormat="1" applyFont="1" applyFill="1" applyBorder="1" applyAlignment="1">
      <alignment vertical="center" wrapText="1"/>
    </xf>
    <xf numFmtId="192" fontId="8" fillId="10" borderId="13" xfId="0" applyNumberFormat="1" applyFont="1" applyFill="1" applyBorder="1" applyAlignment="1">
      <alignment vertical="center" wrapText="1"/>
    </xf>
    <xf numFmtId="192" fontId="8" fillId="6" borderId="12" xfId="0" applyNumberFormat="1" applyFont="1" applyFill="1" applyBorder="1" applyAlignment="1">
      <alignment vertical="center" wrapText="1"/>
    </xf>
    <xf numFmtId="192" fontId="8" fillId="6" borderId="13" xfId="0" applyNumberFormat="1" applyFont="1" applyFill="1" applyBorder="1" applyAlignment="1">
      <alignment vertical="center" wrapText="1"/>
    </xf>
    <xf numFmtId="0" fontId="69" fillId="33" borderId="17" xfId="0" applyFont="1" applyFill="1" applyBorder="1" applyAlignment="1">
      <alignment horizontal="center" vertical="center"/>
    </xf>
    <xf numFmtId="0" fontId="1" fillId="33" borderId="17" xfId="0" applyFont="1" applyFill="1" applyBorder="1" applyAlignment="1">
      <alignment vertical="center"/>
    </xf>
    <xf numFmtId="0" fontId="3" fillId="40" borderId="47" xfId="0" applyFont="1" applyFill="1" applyBorder="1" applyAlignment="1">
      <alignment horizontal="center" vertical="center"/>
    </xf>
    <xf numFmtId="0" fontId="3" fillId="40" borderId="33"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67" fillId="7" borderId="48" xfId="0" applyFont="1" applyFill="1" applyBorder="1" applyAlignment="1">
      <alignment horizontal="center" vertical="center"/>
    </xf>
    <xf numFmtId="0" fontId="3" fillId="40" borderId="49" xfId="0" applyFont="1" applyFill="1" applyBorder="1" applyAlignment="1">
      <alignment horizontal="center" vertical="center"/>
    </xf>
    <xf numFmtId="0" fontId="3" fillId="40" borderId="30" xfId="0" applyFont="1" applyFill="1" applyBorder="1" applyAlignment="1">
      <alignment horizontal="center" vertical="center"/>
    </xf>
    <xf numFmtId="0" fontId="67" fillId="7" borderId="15" xfId="0" applyFont="1" applyFill="1" applyBorder="1" applyAlignment="1">
      <alignment horizontal="center" vertical="center"/>
    </xf>
    <xf numFmtId="0" fontId="67" fillId="7" borderId="34" xfId="0" applyFont="1" applyFill="1" applyBorder="1" applyAlignment="1">
      <alignment horizontal="center" vertical="center"/>
    </xf>
    <xf numFmtId="0" fontId="67" fillId="7" borderId="32" xfId="0" applyFont="1" applyFill="1" applyBorder="1" applyAlignment="1">
      <alignment horizontal="center" vertical="center"/>
    </xf>
    <xf numFmtId="0" fontId="1" fillId="37" borderId="44" xfId="0" applyFont="1" applyFill="1" applyBorder="1" applyAlignment="1">
      <alignment horizontal="center" vertical="center" textRotation="90" wrapText="1"/>
    </xf>
    <xf numFmtId="0" fontId="1" fillId="37" borderId="45" xfId="0" applyFont="1" applyFill="1" applyBorder="1" applyAlignment="1">
      <alignment horizontal="center" vertical="center" textRotation="90" wrapText="1"/>
    </xf>
    <xf numFmtId="0" fontId="1" fillId="37" borderId="46" xfId="0" applyFont="1" applyFill="1" applyBorder="1" applyAlignment="1">
      <alignment horizontal="center" vertical="center" textRotation="90" wrapText="1"/>
    </xf>
    <xf numFmtId="0" fontId="3" fillId="40" borderId="35" xfId="0" applyFont="1" applyFill="1" applyBorder="1" applyAlignment="1">
      <alignment horizontal="center" vertical="center"/>
    </xf>
    <xf numFmtId="0" fontId="3" fillId="40" borderId="31" xfId="0" applyFont="1" applyFill="1" applyBorder="1" applyAlignment="1">
      <alignment horizontal="center" vertical="center"/>
    </xf>
    <xf numFmtId="0" fontId="3" fillId="0" borderId="35" xfId="0" applyFont="1" applyBorder="1" applyAlignment="1">
      <alignment horizontal="center" vertical="center"/>
    </xf>
    <xf numFmtId="0" fontId="67" fillId="19" borderId="38" xfId="0" applyFont="1" applyFill="1" applyBorder="1" applyAlignment="1">
      <alignment horizontal="center" vertical="center"/>
    </xf>
    <xf numFmtId="0" fontId="0" fillId="0" borderId="0" xfId="0" applyFont="1" applyBorder="1" applyAlignment="1">
      <alignment horizontal="center"/>
    </xf>
    <xf numFmtId="0" fontId="0" fillId="0" borderId="0" xfId="0" applyFont="1" applyAlignment="1">
      <alignment horizontal="center"/>
    </xf>
    <xf numFmtId="4" fontId="0" fillId="0" borderId="10" xfId="0" applyNumberFormat="1" applyFont="1" applyFill="1" applyBorder="1" applyAlignment="1">
      <alignment horizontal="right" vertical="center"/>
    </xf>
    <xf numFmtId="0" fontId="2" fillId="0" borderId="50"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47" xfId="0" applyFont="1" applyBorder="1" applyAlignment="1">
      <alignment horizontal="center" vertical="center" wrapText="1"/>
    </xf>
    <xf numFmtId="0" fontId="67" fillId="0" borderId="0" xfId="0" applyFont="1" applyFill="1" applyBorder="1" applyAlignment="1">
      <alignment horizontal="center" vertical="center" wrapText="1"/>
    </xf>
    <xf numFmtId="0" fontId="6" fillId="41" borderId="10"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67" fillId="7" borderId="31" xfId="0" applyFont="1" applyFill="1" applyBorder="1" applyAlignment="1">
      <alignment horizontal="center" vertical="center" wrapText="1"/>
    </xf>
    <xf numFmtId="0" fontId="2" fillId="0" borderId="51" xfId="0" applyFont="1" applyBorder="1" applyAlignment="1">
      <alignment horizontal="center" vertical="center" wrapText="1"/>
    </xf>
    <xf numFmtId="0" fontId="67" fillId="7" borderId="52" xfId="0" applyFont="1" applyFill="1" applyBorder="1" applyAlignment="1">
      <alignment horizontal="center" vertical="center" wrapText="1"/>
    </xf>
    <xf numFmtId="0" fontId="2" fillId="0" borderId="50" xfId="0" applyFont="1" applyBorder="1" applyAlignment="1">
      <alignment horizontal="center" vertical="center" wrapText="1"/>
    </xf>
    <xf numFmtId="0" fontId="67" fillId="7" borderId="41" xfId="0" applyFont="1" applyFill="1" applyBorder="1" applyAlignment="1">
      <alignment horizontal="center" vertical="center"/>
    </xf>
    <xf numFmtId="0" fontId="67" fillId="42" borderId="53" xfId="0" applyFont="1" applyFill="1" applyBorder="1" applyAlignment="1">
      <alignment horizontal="center" vertical="center"/>
    </xf>
    <xf numFmtId="0" fontId="2" fillId="33" borderId="14" xfId="0" applyFont="1" applyFill="1" applyBorder="1" applyAlignment="1">
      <alignment horizontal="center" vertical="center" wrapText="1"/>
    </xf>
    <xf numFmtId="0" fontId="67" fillId="7" borderId="30" xfId="0" applyFont="1" applyFill="1" applyBorder="1" applyAlignment="1">
      <alignment horizontal="center" vertical="center" wrapText="1"/>
    </xf>
    <xf numFmtId="0" fontId="67" fillId="42" borderId="15" xfId="0" applyFont="1" applyFill="1" applyBorder="1" applyAlignment="1">
      <alignment horizontal="center" vertical="center"/>
    </xf>
    <xf numFmtId="0" fontId="67" fillId="7" borderId="37" xfId="0" applyFont="1" applyFill="1" applyBorder="1" applyAlignment="1">
      <alignment horizontal="center" vertical="center"/>
    </xf>
    <xf numFmtId="0" fontId="67" fillId="7" borderId="54" xfId="0" applyFont="1" applyFill="1" applyBorder="1" applyAlignment="1">
      <alignment horizontal="center" vertical="center" wrapText="1"/>
    </xf>
    <xf numFmtId="0" fontId="67" fillId="42" borderId="51" xfId="0" applyFont="1" applyFill="1" applyBorder="1" applyAlignment="1">
      <alignment horizontal="center" vertical="center"/>
    </xf>
    <xf numFmtId="0" fontId="67" fillId="7" borderId="55" xfId="0" applyFont="1" applyFill="1" applyBorder="1" applyAlignment="1">
      <alignment horizontal="center" vertical="center"/>
    </xf>
    <xf numFmtId="0" fontId="71" fillId="0" borderId="35" xfId="0" applyFont="1" applyBorder="1" applyAlignment="1">
      <alignment horizontal="center" vertical="center" wrapText="1"/>
    </xf>
    <xf numFmtId="0" fontId="3" fillId="0" borderId="10" xfId="0" applyFont="1" applyFill="1" applyBorder="1" applyAlignment="1">
      <alignment horizontal="center" vertical="center" wrapText="1"/>
    </xf>
    <xf numFmtId="0" fontId="0" fillId="0" borderId="0" xfId="0" applyFont="1" applyFill="1" applyAlignment="1">
      <alignment/>
    </xf>
    <xf numFmtId="0" fontId="3" fillId="0" borderId="30" xfId="0" applyFont="1" applyFill="1" applyBorder="1" applyAlignment="1">
      <alignment horizontal="center" vertical="center" wrapText="1"/>
    </xf>
    <xf numFmtId="0" fontId="0" fillId="43" borderId="10" xfId="0" applyFont="1" applyFill="1" applyBorder="1" applyAlignment="1">
      <alignment horizontal="center" vertical="center" wrapText="1"/>
    </xf>
    <xf numFmtId="0" fontId="0" fillId="41" borderId="10" xfId="0" applyFont="1" applyFill="1" applyBorder="1" applyAlignment="1">
      <alignment horizontal="center" vertical="center" wrapText="1"/>
    </xf>
    <xf numFmtId="0" fontId="3" fillId="30" borderId="10"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41" borderId="10"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43" borderId="10" xfId="0" applyFont="1" applyFill="1" applyBorder="1" applyAlignment="1">
      <alignment horizontal="center" vertical="center" wrapText="1"/>
    </xf>
    <xf numFmtId="0" fontId="0" fillId="10" borderId="30" xfId="0" applyFont="1" applyFill="1" applyBorder="1" applyAlignment="1">
      <alignment horizontal="center" vertical="center" wrapText="1"/>
    </xf>
    <xf numFmtId="4" fontId="1" fillId="0" borderId="30" xfId="0" applyNumberFormat="1" applyFont="1" applyBorder="1" applyAlignment="1">
      <alignment horizontal="right" vertical="center"/>
    </xf>
    <xf numFmtId="4" fontId="1" fillId="34" borderId="13" xfId="0" applyNumberFormat="1" applyFont="1" applyFill="1" applyBorder="1" applyAlignment="1">
      <alignment vertical="center" wrapText="1"/>
    </xf>
    <xf numFmtId="4" fontId="1" fillId="43" borderId="13" xfId="0" applyNumberFormat="1" applyFont="1" applyFill="1" applyBorder="1" applyAlignment="1">
      <alignment vertical="center" wrapText="1"/>
    </xf>
    <xf numFmtId="4" fontId="1" fillId="3" borderId="13" xfId="0" applyNumberFormat="1" applyFont="1" applyFill="1" applyBorder="1" applyAlignment="1">
      <alignment vertical="center" wrapText="1"/>
    </xf>
    <xf numFmtId="4" fontId="1" fillId="36" borderId="41" xfId="0" applyNumberFormat="1" applyFont="1" applyFill="1" applyBorder="1" applyAlignment="1">
      <alignment vertical="center" wrapText="1"/>
    </xf>
    <xf numFmtId="4" fontId="1" fillId="13" borderId="13" xfId="0" applyNumberFormat="1" applyFont="1" applyFill="1" applyBorder="1" applyAlignment="1">
      <alignment vertical="center" wrapText="1"/>
    </xf>
    <xf numFmtId="4" fontId="1" fillId="41" borderId="13" xfId="0" applyNumberFormat="1" applyFont="1" applyFill="1" applyBorder="1" applyAlignment="1">
      <alignment vertical="center" wrapText="1"/>
    </xf>
    <xf numFmtId="4" fontId="1" fillId="10" borderId="13" xfId="0" applyNumberFormat="1" applyFont="1" applyFill="1" applyBorder="1" applyAlignment="1">
      <alignment vertical="center" wrapText="1"/>
    </xf>
    <xf numFmtId="4" fontId="1" fillId="19" borderId="31" xfId="0" applyNumberFormat="1" applyFont="1" applyFill="1" applyBorder="1" applyAlignment="1">
      <alignment horizontal="right" vertical="center"/>
    </xf>
    <xf numFmtId="4" fontId="0" fillId="0" borderId="0" xfId="0" applyNumberFormat="1" applyFont="1" applyBorder="1" applyAlignment="1">
      <alignment horizontal="right" vertical="center" wrapText="1"/>
    </xf>
    <xf numFmtId="4" fontId="0" fillId="0" borderId="0" xfId="0" applyNumberFormat="1" applyFont="1" applyAlignment="1">
      <alignment/>
    </xf>
    <xf numFmtId="2" fontId="3" fillId="0" borderId="10" xfId="0" applyNumberFormat="1" applyFont="1" applyFill="1" applyBorder="1" applyAlignment="1">
      <alignment horizontal="center" vertical="center"/>
    </xf>
    <xf numFmtId="0" fontId="2" fillId="44" borderId="14" xfId="0" applyFont="1" applyFill="1" applyBorder="1" applyAlignment="1">
      <alignment horizontal="center" vertical="center" wrapText="1"/>
    </xf>
    <xf numFmtId="4" fontId="0" fillId="0" borderId="0" xfId="0" applyNumberFormat="1" applyFont="1" applyAlignment="1">
      <alignment horizontal="center"/>
    </xf>
    <xf numFmtId="0" fontId="67" fillId="7" borderId="56" xfId="0" applyFont="1" applyFill="1" applyBorder="1" applyAlignment="1">
      <alignment horizontal="center" vertical="center" wrapText="1"/>
    </xf>
    <xf numFmtId="0" fontId="10" fillId="0" borderId="49" xfId="0" applyFont="1" applyBorder="1" applyAlignment="1">
      <alignment vertical="center"/>
    </xf>
    <xf numFmtId="0" fontId="10" fillId="0" borderId="28" xfId="0" applyFont="1" applyBorder="1" applyAlignment="1">
      <alignment vertical="center"/>
    </xf>
    <xf numFmtId="0" fontId="1" fillId="13"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191" fontId="3" fillId="0" borderId="10" xfId="0" applyNumberFormat="1" applyFont="1" applyBorder="1" applyAlignment="1">
      <alignment horizontal="center" vertical="center" wrapText="1"/>
    </xf>
    <xf numFmtId="0" fontId="10" fillId="0" borderId="57" xfId="0" applyFont="1" applyBorder="1" applyAlignment="1">
      <alignment vertical="center"/>
    </xf>
    <xf numFmtId="0" fontId="1" fillId="5" borderId="10" xfId="0" applyFont="1" applyFill="1" applyBorder="1" applyAlignment="1">
      <alignment horizontal="center" vertical="center" wrapText="1"/>
    </xf>
    <xf numFmtId="0" fontId="1" fillId="0" borderId="14" xfId="0" applyFont="1" applyBorder="1" applyAlignment="1">
      <alignment horizontal="center" vertical="center"/>
    </xf>
    <xf numFmtId="0" fontId="0" fillId="0" borderId="0" xfId="0" applyAlignment="1">
      <alignment horizontal="center" vertical="center"/>
    </xf>
    <xf numFmtId="0" fontId="3" fillId="0" borderId="37" xfId="0" applyFont="1" applyFill="1" applyBorder="1" applyAlignment="1">
      <alignment horizontal="center" vertical="center"/>
    </xf>
    <xf numFmtId="0" fontId="3" fillId="39" borderId="47" xfId="0" applyFont="1" applyFill="1" applyBorder="1" applyAlignment="1">
      <alignment horizontal="center" vertical="center"/>
    </xf>
    <xf numFmtId="0" fontId="3" fillId="39" borderId="33" xfId="0" applyFont="1" applyFill="1" applyBorder="1" applyAlignment="1">
      <alignment horizontal="center" vertical="center"/>
    </xf>
    <xf numFmtId="0" fontId="3" fillId="39" borderId="41" xfId="0" applyFont="1" applyFill="1" applyBorder="1" applyAlignment="1">
      <alignment horizontal="center" vertical="center"/>
    </xf>
    <xf numFmtId="0" fontId="1" fillId="35" borderId="10" xfId="0" applyFont="1" applyFill="1" applyBorder="1" applyAlignment="1">
      <alignment horizontal="center" vertical="center"/>
    </xf>
    <xf numFmtId="0" fontId="6" fillId="0" borderId="10" xfId="0" applyFont="1" applyFill="1" applyBorder="1" applyAlignment="1">
      <alignment horizontal="center" vertical="center" wrapText="1"/>
    </xf>
    <xf numFmtId="4" fontId="9" fillId="0" borderId="10" xfId="0" applyNumberFormat="1" applyFont="1" applyBorder="1" applyAlignment="1">
      <alignment horizontal="left" vertical="center"/>
    </xf>
    <xf numFmtId="4" fontId="9" fillId="0" borderId="10" xfId="0" applyNumberFormat="1" applyFont="1" applyBorder="1" applyAlignment="1">
      <alignment horizontal="left" vertical="center" wrapText="1"/>
    </xf>
    <xf numFmtId="0" fontId="9" fillId="0" borderId="14" xfId="0" applyFont="1" applyBorder="1" applyAlignment="1">
      <alignment horizontal="center" vertical="center"/>
    </xf>
    <xf numFmtId="0" fontId="6" fillId="0" borderId="30" xfId="0" applyFont="1" applyFill="1" applyBorder="1" applyAlignment="1">
      <alignment horizontal="center" vertical="center" wrapText="1"/>
    </xf>
    <xf numFmtId="4" fontId="9" fillId="0" borderId="30" xfId="0" applyNumberFormat="1" applyFont="1" applyBorder="1" applyAlignment="1">
      <alignment horizontal="right" vertical="center"/>
    </xf>
    <xf numFmtId="4" fontId="6" fillId="0" borderId="31" xfId="0" applyNumberFormat="1" applyFont="1" applyBorder="1" applyAlignment="1">
      <alignment horizontal="right" vertical="center"/>
    </xf>
    <xf numFmtId="4" fontId="0" fillId="0" borderId="10" xfId="0" applyNumberFormat="1" applyFont="1" applyBorder="1" applyAlignment="1">
      <alignment horizontal="right"/>
    </xf>
    <xf numFmtId="4" fontId="1" fillId="0" borderId="58" xfId="0" applyNumberFormat="1" applyFont="1" applyBorder="1" applyAlignment="1">
      <alignment/>
    </xf>
    <xf numFmtId="4" fontId="1" fillId="0" borderId="38" xfId="0" applyNumberFormat="1" applyFont="1" applyBorder="1" applyAlignment="1">
      <alignment/>
    </xf>
    <xf numFmtId="4" fontId="13" fillId="0" borderId="20" xfId="0" applyNumberFormat="1" applyFont="1" applyFill="1" applyBorder="1" applyAlignment="1" applyProtection="1">
      <alignment horizontal="center" vertical="center" wrapText="1"/>
      <protection/>
    </xf>
    <xf numFmtId="4" fontId="13" fillId="0" borderId="19" xfId="0" applyNumberFormat="1" applyFont="1" applyFill="1" applyBorder="1" applyAlignment="1" applyProtection="1">
      <alignment horizontal="center" vertical="center" wrapText="1"/>
      <protection/>
    </xf>
    <xf numFmtId="0" fontId="6" fillId="0" borderId="14" xfId="0" applyFont="1" applyBorder="1" applyAlignment="1">
      <alignment horizontal="center" vertical="center"/>
    </xf>
    <xf numFmtId="0" fontId="1" fillId="13" borderId="10" xfId="0" applyFont="1" applyFill="1" applyBorder="1" applyAlignment="1">
      <alignment horizontal="center" vertical="center" wrapText="1"/>
    </xf>
    <xf numFmtId="4" fontId="6" fillId="0" borderId="10" xfId="0" applyNumberFormat="1" applyFont="1" applyBorder="1" applyAlignment="1">
      <alignment horizontal="center" vertical="center"/>
    </xf>
    <xf numFmtId="4" fontId="6" fillId="0" borderId="30" xfId="0" applyNumberFormat="1" applyFont="1" applyBorder="1" applyAlignment="1">
      <alignment horizontal="right" vertical="center"/>
    </xf>
    <xf numFmtId="4" fontId="0" fillId="0" borderId="10" xfId="0" applyNumberFormat="1" applyFont="1" applyBorder="1" applyAlignment="1">
      <alignment horizontal="left" vertical="center" wrapText="1"/>
    </xf>
    <xf numFmtId="4" fontId="6" fillId="0" borderId="10" xfId="0" applyNumberFormat="1" applyFont="1" applyBorder="1" applyAlignment="1">
      <alignment horizontal="left" vertical="center" wrapText="1"/>
    </xf>
    <xf numFmtId="0" fontId="6" fillId="0" borderId="10" xfId="0" applyFont="1" applyBorder="1" applyAlignment="1">
      <alignment horizontal="left" vertical="center"/>
    </xf>
    <xf numFmtId="4" fontId="1" fillId="0" borderId="10" xfId="0" applyNumberFormat="1" applyFont="1" applyBorder="1" applyAlignment="1">
      <alignment horizontal="left" vertical="center" wrapText="1"/>
    </xf>
    <xf numFmtId="4" fontId="9" fillId="0" borderId="28" xfId="0" applyNumberFormat="1" applyFont="1" applyBorder="1" applyAlignment="1">
      <alignment horizontal="left"/>
    </xf>
    <xf numFmtId="0" fontId="0" fillId="0" borderId="28" xfId="0" applyBorder="1" applyAlignment="1">
      <alignment/>
    </xf>
    <xf numFmtId="0" fontId="6" fillId="0" borderId="28" xfId="0" applyFont="1" applyBorder="1" applyAlignment="1">
      <alignment horizontal="center"/>
    </xf>
    <xf numFmtId="0" fontId="9" fillId="0" borderId="49" xfId="0" applyFont="1" applyBorder="1" applyAlignment="1">
      <alignment/>
    </xf>
    <xf numFmtId="0" fontId="0" fillId="0" borderId="59" xfId="0" applyBorder="1" applyAlignment="1">
      <alignment/>
    </xf>
    <xf numFmtId="184" fontId="6" fillId="0" borderId="60" xfId="0" applyNumberFormat="1" applyFont="1" applyBorder="1" applyAlignment="1">
      <alignment/>
    </xf>
    <xf numFmtId="4" fontId="9" fillId="0" borderId="61" xfId="0" applyNumberFormat="1" applyFont="1" applyBorder="1" applyAlignment="1">
      <alignment/>
    </xf>
    <xf numFmtId="4" fontId="9" fillId="0" borderId="62" xfId="0" applyNumberFormat="1" applyFont="1" applyBorder="1" applyAlignment="1">
      <alignment/>
    </xf>
    <xf numFmtId="4" fontId="6" fillId="0" borderId="63" xfId="0" applyNumberFormat="1" applyFont="1" applyBorder="1" applyAlignment="1">
      <alignment/>
    </xf>
    <xf numFmtId="172" fontId="1" fillId="0" borderId="13" xfId="0" applyNumberFormat="1" applyFont="1" applyBorder="1" applyAlignment="1">
      <alignment horizontal="center" vertical="center"/>
    </xf>
    <xf numFmtId="0" fontId="0" fillId="0" borderId="0" xfId="0" applyFill="1" applyBorder="1" applyAlignment="1">
      <alignment/>
    </xf>
    <xf numFmtId="0" fontId="5" fillId="0" borderId="0" xfId="0" applyFont="1" applyBorder="1" applyAlignment="1">
      <alignment horizontal="center" vertical="center" wrapText="1"/>
    </xf>
    <xf numFmtId="2" fontId="2" fillId="0" borderId="14" xfId="0" applyNumberFormat="1" applyFont="1" applyFill="1" applyBorder="1" applyAlignment="1">
      <alignment horizontal="center" vertical="center" wrapText="1"/>
    </xf>
    <xf numFmtId="0" fontId="1" fillId="13" borderId="10" xfId="0" applyFont="1" applyFill="1" applyBorder="1" applyAlignment="1">
      <alignment horizontal="center" vertical="center" wrapText="1"/>
    </xf>
    <xf numFmtId="0" fontId="1" fillId="37" borderId="64" xfId="0" applyFont="1" applyFill="1" applyBorder="1" applyAlignment="1">
      <alignment horizontal="center" vertical="center" textRotation="90" wrapText="1"/>
    </xf>
    <xf numFmtId="0" fontId="6" fillId="45" borderId="36" xfId="0" applyFont="1" applyFill="1" applyBorder="1" applyAlignment="1">
      <alignment horizontal="center" vertical="center" wrapText="1"/>
    </xf>
    <xf numFmtId="0" fontId="6" fillId="33" borderId="65" xfId="0" applyFont="1" applyFill="1" applyBorder="1" applyAlignment="1">
      <alignment horizontal="center" vertical="center" textRotation="90" wrapText="1"/>
    </xf>
    <xf numFmtId="0" fontId="7" fillId="16" borderId="36"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43" borderId="10" xfId="0" applyFont="1" applyFill="1" applyBorder="1" applyAlignment="1">
      <alignment horizontal="center" vertical="center" wrapText="1"/>
    </xf>
    <xf numFmtId="0" fontId="6" fillId="43" borderId="33" xfId="0" applyFont="1" applyFill="1" applyBorder="1" applyAlignment="1">
      <alignment horizontal="center" vertical="center" wrapText="1"/>
    </xf>
    <xf numFmtId="0" fontId="6" fillId="43" borderId="23"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6" fillId="10" borderId="12" xfId="0" applyFont="1" applyFill="1" applyBorder="1" applyAlignment="1">
      <alignment horizontal="center" vertical="center" wrapText="1"/>
    </xf>
    <xf numFmtId="0" fontId="6" fillId="10" borderId="10" xfId="0" applyFont="1" applyFill="1" applyBorder="1" applyAlignment="1">
      <alignment horizontal="center" vertical="center" wrapText="1"/>
    </xf>
    <xf numFmtId="4" fontId="0" fillId="0" borderId="18" xfId="0" applyNumberFormat="1" applyFont="1" applyBorder="1" applyAlignment="1">
      <alignment horizontal="center"/>
    </xf>
    <xf numFmtId="4" fontId="0" fillId="0" borderId="18" xfId="0" applyNumberFormat="1" applyFont="1" applyBorder="1" applyAlignment="1">
      <alignment horizontal="right"/>
    </xf>
    <xf numFmtId="4" fontId="1" fillId="0" borderId="28" xfId="0" applyNumberFormat="1" applyFont="1" applyBorder="1" applyAlignment="1">
      <alignment horizontal="center"/>
    </xf>
    <xf numFmtId="0" fontId="1" fillId="0" borderId="66" xfId="0" applyFont="1" applyBorder="1" applyAlignment="1">
      <alignment/>
    </xf>
    <xf numFmtId="0" fontId="1" fillId="0" borderId="29" xfId="0" applyFont="1" applyBorder="1" applyAlignment="1">
      <alignment/>
    </xf>
    <xf numFmtId="0" fontId="1" fillId="0" borderId="67" xfId="0" applyFont="1" applyBorder="1" applyAlignment="1">
      <alignment/>
    </xf>
    <xf numFmtId="0" fontId="1" fillId="0" borderId="0" xfId="0" applyFont="1" applyBorder="1" applyAlignment="1">
      <alignment/>
    </xf>
    <xf numFmtId="0" fontId="1" fillId="0" borderId="68" xfId="0" applyFont="1" applyBorder="1" applyAlignment="1">
      <alignment/>
    </xf>
    <xf numFmtId="0" fontId="1" fillId="0" borderId="69" xfId="0" applyFont="1" applyBorder="1" applyAlignment="1">
      <alignment/>
    </xf>
    <xf numFmtId="3" fontId="1" fillId="46" borderId="10" xfId="0" applyNumberFormat="1" applyFont="1" applyFill="1" applyBorder="1" applyAlignment="1">
      <alignment horizontal="center"/>
    </xf>
    <xf numFmtId="3" fontId="0" fillId="46" borderId="18" xfId="0" applyNumberFormat="1" applyFont="1" applyFill="1" applyBorder="1" applyAlignment="1">
      <alignment horizontal="center"/>
    </xf>
    <xf numFmtId="177" fontId="1" fillId="46" borderId="0" xfId="0" applyNumberFormat="1" applyFont="1" applyFill="1" applyBorder="1" applyAlignment="1">
      <alignment horizontal="center"/>
    </xf>
    <xf numFmtId="177" fontId="1" fillId="12" borderId="10" xfId="0" applyNumberFormat="1" applyFont="1" applyFill="1" applyBorder="1" applyAlignment="1">
      <alignment horizontal="center"/>
    </xf>
    <xf numFmtId="4" fontId="0" fillId="0" borderId="61" xfId="0" applyNumberFormat="1" applyFont="1" applyBorder="1" applyAlignment="1">
      <alignment/>
    </xf>
    <xf numFmtId="0" fontId="1" fillId="0" borderId="0" xfId="0" applyFont="1" applyAlignment="1">
      <alignment horizontal="center" vertical="center" textRotation="90"/>
    </xf>
    <xf numFmtId="174" fontId="6" fillId="46" borderId="10" xfId="0" applyNumberFormat="1" applyFont="1" applyFill="1" applyBorder="1" applyAlignment="1">
      <alignment horizontal="center"/>
    </xf>
    <xf numFmtId="0" fontId="3" fillId="0" borderId="18" xfId="0" applyFont="1" applyFill="1" applyBorder="1" applyAlignment="1">
      <alignment horizontal="center" vertical="center"/>
    </xf>
    <xf numFmtId="4" fontId="0" fillId="0" borderId="10" xfId="0" applyNumberFormat="1" applyFont="1" applyBorder="1" applyAlignment="1">
      <alignment vertical="center"/>
    </xf>
    <xf numFmtId="4" fontId="1" fillId="0" borderId="10" xfId="0" applyNumberFormat="1" applyFont="1" applyBorder="1" applyAlignment="1">
      <alignment/>
    </xf>
    <xf numFmtId="3" fontId="21" fillId="0" borderId="10" xfId="0" applyNumberFormat="1" applyFont="1" applyFill="1" applyBorder="1" applyAlignment="1">
      <alignment horizontal="center" vertical="center" wrapText="1"/>
    </xf>
    <xf numFmtId="4" fontId="0" fillId="0" borderId="0" xfId="0" applyNumberFormat="1" applyAlignment="1">
      <alignment/>
    </xf>
    <xf numFmtId="4" fontId="9" fillId="0" borderId="70" xfId="0" applyNumberFormat="1" applyFont="1" applyBorder="1" applyAlignment="1">
      <alignment/>
    </xf>
    <xf numFmtId="4" fontId="9" fillId="0" borderId="30" xfId="0" applyNumberFormat="1" applyFont="1" applyBorder="1" applyAlignment="1">
      <alignment/>
    </xf>
    <xf numFmtId="0" fontId="7" fillId="0" borderId="22" xfId="0" applyFont="1" applyFill="1" applyBorder="1" applyAlignment="1">
      <alignment horizontal="center" vertical="center" textRotation="90" wrapText="1"/>
    </xf>
    <xf numFmtId="0" fontId="7" fillId="0" borderId="21" xfId="0" applyFont="1" applyFill="1" applyBorder="1" applyAlignment="1">
      <alignment horizontal="center" vertical="center" textRotation="90" wrapText="1"/>
    </xf>
    <xf numFmtId="0" fontId="7" fillId="0" borderId="20" xfId="0" applyFont="1" applyFill="1" applyBorder="1" applyAlignment="1">
      <alignment horizontal="center" vertical="center" textRotation="90" wrapText="1"/>
    </xf>
    <xf numFmtId="0" fontId="7" fillId="0" borderId="22" xfId="0" applyFont="1" applyFill="1" applyBorder="1" applyAlignment="1">
      <alignment horizontal="center" vertical="center" textRotation="90"/>
    </xf>
    <xf numFmtId="0" fontId="7" fillId="0" borderId="21" xfId="0" applyFont="1" applyFill="1" applyBorder="1" applyAlignment="1">
      <alignment horizontal="center" vertical="center" textRotation="90"/>
    </xf>
    <xf numFmtId="0" fontId="7" fillId="0" borderId="20" xfId="0" applyFont="1" applyFill="1" applyBorder="1" applyAlignment="1">
      <alignment horizontal="center" vertical="center" textRotation="90"/>
    </xf>
    <xf numFmtId="0" fontId="9" fillId="0" borderId="10"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7" fillId="0" borderId="10" xfId="0" applyFont="1" applyFill="1" applyBorder="1" applyAlignment="1">
      <alignment horizontal="center" vertical="center" textRotation="90"/>
    </xf>
    <xf numFmtId="0" fontId="7" fillId="0" borderId="16" xfId="0" applyFont="1" applyFill="1" applyBorder="1" applyAlignment="1">
      <alignment horizontal="center" vertical="center" textRotation="90"/>
    </xf>
    <xf numFmtId="0" fontId="7" fillId="0" borderId="19" xfId="0" applyFont="1" applyFill="1" applyBorder="1" applyAlignment="1">
      <alignment horizontal="center" vertical="center" textRotation="90"/>
    </xf>
    <xf numFmtId="0" fontId="9" fillId="0" borderId="18"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72" fillId="33" borderId="67" xfId="0" applyFont="1" applyFill="1" applyBorder="1" applyAlignment="1">
      <alignment horizontal="center" vertical="center" wrapText="1"/>
    </xf>
    <xf numFmtId="0" fontId="72" fillId="33" borderId="0" xfId="0" applyFont="1" applyFill="1" applyBorder="1" applyAlignment="1">
      <alignment horizontal="center" vertical="center" wrapText="1"/>
    </xf>
    <xf numFmtId="0" fontId="0" fillId="0" borderId="71" xfId="0" applyFont="1" applyBorder="1" applyAlignment="1">
      <alignment horizontal="center" vertical="center" textRotation="90" wrapText="1"/>
    </xf>
    <xf numFmtId="0" fontId="0" fillId="0" borderId="34" xfId="0" applyFont="1" applyBorder="1" applyAlignment="1">
      <alignment horizontal="center" vertical="center" textRotation="90" wrapText="1"/>
    </xf>
    <xf numFmtId="0" fontId="1" fillId="0" borderId="72" xfId="0" applyFont="1" applyBorder="1" applyAlignment="1">
      <alignment horizontal="center" vertical="center" wrapText="1"/>
    </xf>
    <xf numFmtId="0" fontId="1" fillId="0" borderId="73" xfId="0" applyFont="1" applyBorder="1" applyAlignment="1">
      <alignment horizontal="center" vertical="center" wrapText="1"/>
    </xf>
    <xf numFmtId="0" fontId="71" fillId="0" borderId="35" xfId="0" applyFont="1" applyFill="1" applyBorder="1" applyAlignment="1">
      <alignment horizontal="center" vertical="center" wrapText="1"/>
    </xf>
    <xf numFmtId="0" fontId="71" fillId="0" borderId="30" xfId="0" applyFont="1" applyFill="1" applyBorder="1" applyAlignment="1">
      <alignment horizontal="center" vertical="center" wrapText="1"/>
    </xf>
    <xf numFmtId="0" fontId="71" fillId="0" borderId="58" xfId="0" applyFont="1" applyFill="1" applyBorder="1" applyAlignment="1">
      <alignment horizontal="center" vertical="center" wrapText="1"/>
    </xf>
    <xf numFmtId="0" fontId="71" fillId="0" borderId="31" xfId="0" applyFont="1" applyFill="1" applyBorder="1" applyAlignment="1">
      <alignment horizontal="center" vertical="center" wrapText="1"/>
    </xf>
    <xf numFmtId="0" fontId="71" fillId="0" borderId="35" xfId="0" applyFont="1" applyBorder="1" applyAlignment="1">
      <alignment horizontal="center" vertical="center" wrapText="1"/>
    </xf>
    <xf numFmtId="0" fontId="71" fillId="0" borderId="30" xfId="0" applyFont="1" applyBorder="1" applyAlignment="1">
      <alignment horizontal="center" vertical="center"/>
    </xf>
    <xf numFmtId="0" fontId="71" fillId="0" borderId="31" xfId="0" applyFont="1" applyBorder="1" applyAlignment="1">
      <alignment horizontal="center" vertical="center"/>
    </xf>
    <xf numFmtId="0" fontId="69" fillId="0" borderId="35" xfId="0" applyFont="1" applyBorder="1" applyAlignment="1">
      <alignment horizontal="center" vertical="center" wrapText="1"/>
    </xf>
    <xf numFmtId="0" fontId="69" fillId="0" borderId="30" xfId="0" applyFont="1" applyBorder="1" applyAlignment="1">
      <alignment horizontal="center" vertical="center"/>
    </xf>
    <xf numFmtId="0" fontId="71" fillId="0" borderId="58" xfId="0" applyFont="1" applyBorder="1" applyAlignment="1">
      <alignment horizontal="center" vertical="center" wrapText="1"/>
    </xf>
    <xf numFmtId="0" fontId="71" fillId="0" borderId="74" xfId="0" applyFont="1" applyBorder="1" applyAlignment="1">
      <alignment horizontal="center" vertical="center" wrapText="1"/>
    </xf>
    <xf numFmtId="0" fontId="71" fillId="0" borderId="58" xfId="0" applyFont="1" applyBorder="1" applyAlignment="1">
      <alignment horizontal="center" vertical="center"/>
    </xf>
    <xf numFmtId="0" fontId="71" fillId="0" borderId="75" xfId="0" applyFont="1" applyBorder="1" applyAlignment="1">
      <alignment horizontal="center" vertical="center" wrapText="1"/>
    </xf>
    <xf numFmtId="0" fontId="71" fillId="0" borderId="75" xfId="0" applyFont="1" applyBorder="1" applyAlignment="1">
      <alignment horizontal="center" vertical="center"/>
    </xf>
    <xf numFmtId="0" fontId="5" fillId="34" borderId="76" xfId="0" applyFont="1" applyFill="1" applyBorder="1" applyAlignment="1">
      <alignment horizontal="center" vertical="center" wrapText="1"/>
    </xf>
    <xf numFmtId="0" fontId="5" fillId="34" borderId="54" xfId="0" applyFont="1" applyFill="1" applyBorder="1" applyAlignment="1">
      <alignment horizontal="center" vertical="center" wrapText="1"/>
    </xf>
    <xf numFmtId="0" fontId="5" fillId="34" borderId="77" xfId="0" applyFont="1" applyFill="1" applyBorder="1" applyAlignment="1">
      <alignment horizontal="center" vertical="center" wrapText="1"/>
    </xf>
    <xf numFmtId="0" fontId="8" fillId="0" borderId="33"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33" xfId="0" applyFont="1" applyFill="1" applyBorder="1" applyAlignment="1">
      <alignment horizontal="left" vertical="center"/>
    </xf>
    <xf numFmtId="0" fontId="8" fillId="0" borderId="28" xfId="0" applyFont="1" applyFill="1" applyBorder="1" applyAlignment="1">
      <alignment horizontal="left" vertical="center"/>
    </xf>
    <xf numFmtId="0" fontId="8" fillId="0" borderId="25" xfId="0" applyFont="1" applyFill="1" applyBorder="1" applyAlignment="1">
      <alignment horizontal="left" vertical="center"/>
    </xf>
    <xf numFmtId="0" fontId="5" fillId="43" borderId="78" xfId="0" applyFont="1" applyFill="1" applyBorder="1" applyAlignment="1">
      <alignment horizontal="center" vertical="center" textRotation="90" wrapText="1"/>
    </xf>
    <xf numFmtId="0" fontId="5" fillId="43" borderId="54" xfId="0" applyFont="1" applyFill="1" applyBorder="1" applyAlignment="1">
      <alignment horizontal="center" vertical="center" textRotation="90" wrapText="1"/>
    </xf>
    <xf numFmtId="0" fontId="5" fillId="43" borderId="26" xfId="0" applyFont="1" applyFill="1" applyBorder="1" applyAlignment="1">
      <alignment horizontal="center" vertical="center" textRotation="90" wrapText="1"/>
    </xf>
    <xf numFmtId="0" fontId="5" fillId="34" borderId="78" xfId="0" applyFont="1" applyFill="1" applyBorder="1" applyAlignment="1">
      <alignment horizontal="center" vertical="center" wrapText="1"/>
    </xf>
    <xf numFmtId="0" fontId="8" fillId="0" borderId="47"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5" fillId="47" borderId="41" xfId="0" applyFont="1" applyFill="1" applyBorder="1" applyAlignment="1">
      <alignment horizontal="center" vertical="center" wrapText="1"/>
    </xf>
    <xf numFmtId="0" fontId="5" fillId="47" borderId="79" xfId="0" applyFont="1" applyFill="1" applyBorder="1" applyAlignment="1">
      <alignment horizontal="center" vertical="center" wrapText="1"/>
    </xf>
    <xf numFmtId="0" fontId="6" fillId="41" borderId="78" xfId="0" applyFont="1" applyFill="1" applyBorder="1" applyAlignment="1">
      <alignment horizontal="center" vertical="center" textRotation="90" wrapText="1"/>
    </xf>
    <xf numFmtId="0" fontId="6" fillId="41" borderId="54" xfId="0" applyFont="1" applyFill="1" applyBorder="1" applyAlignment="1">
      <alignment horizontal="center" vertical="center" textRotation="90" wrapText="1"/>
    </xf>
    <xf numFmtId="0" fontId="6" fillId="41" borderId="26" xfId="0" applyFont="1" applyFill="1" applyBorder="1" applyAlignment="1">
      <alignment horizontal="center" vertical="center" textRotation="90" wrapText="1"/>
    </xf>
    <xf numFmtId="0" fontId="5" fillId="35" borderId="47" xfId="0" applyFont="1" applyFill="1" applyBorder="1" applyAlignment="1">
      <alignment horizontal="center" vertical="center" textRotation="90" wrapText="1"/>
    </xf>
    <xf numFmtId="0" fontId="5" fillId="35" borderId="39" xfId="0" applyFont="1" applyFill="1" applyBorder="1" applyAlignment="1">
      <alignment horizontal="center" vertical="center" textRotation="90" wrapText="1"/>
    </xf>
    <xf numFmtId="0" fontId="5" fillId="34" borderId="78" xfId="0" applyFont="1" applyFill="1" applyBorder="1" applyAlignment="1">
      <alignment horizontal="center" vertical="center" textRotation="90" wrapText="1"/>
    </xf>
    <xf numFmtId="0" fontId="5" fillId="34" borderId="54" xfId="0" applyFont="1" applyFill="1" applyBorder="1" applyAlignment="1">
      <alignment horizontal="center" vertical="center" textRotation="90" wrapText="1"/>
    </xf>
    <xf numFmtId="0" fontId="5" fillId="34" borderId="26" xfId="0" applyFont="1" applyFill="1" applyBorder="1" applyAlignment="1">
      <alignment horizontal="center" vertical="center" textRotation="90" wrapText="1"/>
    </xf>
    <xf numFmtId="0" fontId="1" fillId="37" borderId="47" xfId="0" applyFont="1" applyFill="1" applyBorder="1" applyAlignment="1">
      <alignment horizontal="center" vertical="center" textRotation="90" wrapText="1"/>
    </xf>
    <xf numFmtId="0" fontId="1" fillId="37" borderId="39" xfId="0" applyFont="1" applyFill="1" applyBorder="1" applyAlignment="1">
      <alignment horizontal="center" vertical="center" textRotation="90" wrapText="1"/>
    </xf>
    <xf numFmtId="0" fontId="5" fillId="44" borderId="33" xfId="0" applyFont="1" applyFill="1" applyBorder="1" applyAlignment="1">
      <alignment horizontal="left" vertical="center"/>
    </xf>
    <xf numFmtId="0" fontId="5" fillId="44" borderId="28" xfId="0" applyFont="1" applyFill="1" applyBorder="1" applyAlignment="1">
      <alignment horizontal="left" vertical="center"/>
    </xf>
    <xf numFmtId="0" fontId="5" fillId="44" borderId="25" xfId="0" applyFont="1" applyFill="1" applyBorder="1" applyAlignment="1">
      <alignment horizontal="left" vertical="center"/>
    </xf>
    <xf numFmtId="0" fontId="3" fillId="0" borderId="2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1" fillId="10" borderId="80" xfId="0" applyFont="1" applyFill="1" applyBorder="1" applyAlignment="1">
      <alignment horizontal="center" vertical="center" textRotation="90" wrapText="1"/>
    </xf>
    <xf numFmtId="0" fontId="1" fillId="10" borderId="81" xfId="0" applyFont="1" applyFill="1" applyBorder="1" applyAlignment="1">
      <alignment horizontal="center" vertical="center" textRotation="90" wrapText="1"/>
    </xf>
    <xf numFmtId="0" fontId="6" fillId="13" borderId="78" xfId="0" applyFont="1" applyFill="1" applyBorder="1" applyAlignment="1">
      <alignment horizontal="center" vertical="center" textRotation="90" wrapText="1"/>
    </xf>
    <xf numFmtId="0" fontId="6" fillId="13" borderId="54" xfId="0" applyFont="1" applyFill="1" applyBorder="1" applyAlignment="1">
      <alignment horizontal="center" vertical="center" textRotation="90" wrapText="1"/>
    </xf>
    <xf numFmtId="0" fontId="6" fillId="13" borderId="26" xfId="0" applyFont="1" applyFill="1" applyBorder="1" applyAlignment="1">
      <alignment horizontal="center" vertical="center" textRotation="90" wrapText="1"/>
    </xf>
    <xf numFmtId="0" fontId="5" fillId="36" borderId="78" xfId="0" applyFont="1" applyFill="1" applyBorder="1" applyAlignment="1">
      <alignment horizontal="center" vertical="center" textRotation="90" wrapText="1"/>
    </xf>
    <xf numFmtId="0" fontId="5" fillId="36" borderId="54" xfId="0" applyFont="1" applyFill="1" applyBorder="1" applyAlignment="1">
      <alignment horizontal="center" vertical="center" textRotation="90" wrapText="1"/>
    </xf>
    <xf numFmtId="0" fontId="5" fillId="36" borderId="26" xfId="0" applyFont="1" applyFill="1" applyBorder="1" applyAlignment="1">
      <alignment horizontal="center" vertical="center" textRotation="90" wrapText="1"/>
    </xf>
    <xf numFmtId="0" fontId="6" fillId="3" borderId="78" xfId="0" applyFont="1" applyFill="1" applyBorder="1" applyAlignment="1">
      <alignment horizontal="center" vertical="center" textRotation="90" wrapText="1"/>
    </xf>
    <xf numFmtId="0" fontId="6" fillId="3" borderId="54" xfId="0" applyFont="1" applyFill="1" applyBorder="1" applyAlignment="1">
      <alignment horizontal="center" vertical="center" textRotation="90" wrapText="1"/>
    </xf>
    <xf numFmtId="0" fontId="6" fillId="3" borderId="26" xfId="0" applyFont="1" applyFill="1" applyBorder="1" applyAlignment="1">
      <alignment horizontal="center" vertical="center" textRotation="90" wrapText="1"/>
    </xf>
    <xf numFmtId="0" fontId="3" fillId="0" borderId="33" xfId="0" applyFont="1" applyFill="1" applyBorder="1" applyAlignment="1">
      <alignment horizontal="left" vertical="center" wrapText="1"/>
    </xf>
    <xf numFmtId="0" fontId="8" fillId="0" borderId="33" xfId="0" applyFont="1" applyBorder="1" applyAlignment="1">
      <alignment horizontal="left" vertical="center"/>
    </xf>
    <xf numFmtId="0" fontId="8" fillId="0" borderId="28" xfId="0" applyFont="1" applyBorder="1" applyAlignment="1">
      <alignment horizontal="left" vertical="center"/>
    </xf>
    <xf numFmtId="0" fontId="8" fillId="0" borderId="25" xfId="0" applyFont="1" applyBorder="1" applyAlignment="1">
      <alignment horizontal="left" vertical="center"/>
    </xf>
    <xf numFmtId="0" fontId="1" fillId="37" borderId="47" xfId="0" applyFont="1" applyFill="1" applyBorder="1" applyAlignment="1">
      <alignment horizontal="center" vertical="center" wrapText="1"/>
    </xf>
    <xf numFmtId="0" fontId="1" fillId="37" borderId="42" xfId="0" applyFont="1" applyFill="1" applyBorder="1" applyAlignment="1">
      <alignment horizontal="center" vertical="center" wrapText="1"/>
    </xf>
    <xf numFmtId="0" fontId="1" fillId="37" borderId="39" xfId="0" applyFont="1" applyFill="1" applyBorder="1" applyAlignment="1">
      <alignment horizontal="center" vertical="center" wrapText="1"/>
    </xf>
    <xf numFmtId="0" fontId="8" fillId="0" borderId="47" xfId="0" applyFont="1" applyBorder="1" applyAlignment="1">
      <alignment horizontal="left" vertical="center" wrapText="1"/>
    </xf>
    <xf numFmtId="0" fontId="8" fillId="0" borderId="42" xfId="0" applyFont="1" applyBorder="1" applyAlignment="1">
      <alignment horizontal="left" vertical="center" wrapText="1"/>
    </xf>
    <xf numFmtId="0" fontId="8" fillId="0" borderId="39" xfId="0" applyFont="1" applyBorder="1" applyAlignment="1">
      <alignment horizontal="left" vertical="center" wrapText="1"/>
    </xf>
    <xf numFmtId="0" fontId="1" fillId="35" borderId="29" xfId="0" applyFont="1" applyFill="1" applyBorder="1" applyAlignment="1">
      <alignment horizontal="right" vertical="center"/>
    </xf>
    <xf numFmtId="0" fontId="1" fillId="35" borderId="82" xfId="0" applyFont="1" applyFill="1" applyBorder="1" applyAlignment="1">
      <alignment horizontal="right" vertical="center"/>
    </xf>
    <xf numFmtId="0" fontId="8" fillId="0" borderId="33" xfId="0" applyFont="1" applyBorder="1" applyAlignment="1">
      <alignment horizontal="left" vertical="center" wrapText="1"/>
    </xf>
    <xf numFmtId="0" fontId="8" fillId="0" borderId="28" xfId="0" applyFont="1" applyBorder="1" applyAlignment="1">
      <alignment horizontal="left" vertical="center" wrapText="1"/>
    </xf>
    <xf numFmtId="0" fontId="8" fillId="0" borderId="25" xfId="0" applyFont="1" applyBorder="1" applyAlignment="1">
      <alignment horizontal="left" vertical="center" wrapText="1"/>
    </xf>
    <xf numFmtId="0" fontId="6" fillId="43" borderId="17" xfId="0" applyFont="1" applyFill="1" applyBorder="1" applyAlignment="1">
      <alignment horizontal="center" vertical="center" wrapText="1"/>
    </xf>
    <xf numFmtId="0" fontId="6" fillId="43" borderId="21" xfId="0" applyFont="1" applyFill="1" applyBorder="1" applyAlignment="1">
      <alignment horizontal="center" vertical="center" wrapText="1"/>
    </xf>
    <xf numFmtId="0" fontId="6" fillId="43" borderId="1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37" borderId="45" xfId="0" applyFont="1" applyFill="1" applyBorder="1" applyAlignment="1">
      <alignment horizontal="center" vertical="center" textRotation="90" wrapText="1"/>
    </xf>
    <xf numFmtId="0" fontId="1" fillId="37" borderId="83" xfId="0" applyFont="1" applyFill="1" applyBorder="1" applyAlignment="1">
      <alignment horizontal="center" vertical="center" textRotation="90" wrapText="1"/>
    </xf>
    <xf numFmtId="0" fontId="5" fillId="47" borderId="44" xfId="0" applyFont="1" applyFill="1" applyBorder="1" applyAlignment="1">
      <alignment horizontal="right" vertical="center" wrapText="1"/>
    </xf>
    <xf numFmtId="0" fontId="5" fillId="47" borderId="84" xfId="0" applyFont="1" applyFill="1" applyBorder="1" applyAlignment="1">
      <alignment horizontal="right" vertical="center" wrapText="1"/>
    </xf>
    <xf numFmtId="0" fontId="5" fillId="47" borderId="85" xfId="0" applyFont="1" applyFill="1" applyBorder="1" applyAlignment="1">
      <alignment horizontal="right" vertical="center" wrapText="1"/>
    </xf>
    <xf numFmtId="0" fontId="6" fillId="3" borderId="17"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18" xfId="0" applyFont="1" applyFill="1" applyBorder="1" applyAlignment="1">
      <alignment horizontal="center" vertical="center" wrapText="1"/>
    </xf>
    <xf numFmtId="184" fontId="1" fillId="0" borderId="41" xfId="0" applyNumberFormat="1" applyFont="1" applyBorder="1" applyAlignment="1">
      <alignment horizontal="right"/>
    </xf>
    <xf numFmtId="184" fontId="1" fillId="0" borderId="60" xfId="0" applyNumberFormat="1" applyFont="1" applyBorder="1" applyAlignment="1">
      <alignment horizontal="right"/>
    </xf>
    <xf numFmtId="184" fontId="1" fillId="0" borderId="79" xfId="0" applyNumberFormat="1" applyFont="1" applyBorder="1" applyAlignment="1">
      <alignment horizontal="right"/>
    </xf>
    <xf numFmtId="4" fontId="1" fillId="0" borderId="28" xfId="0" applyNumberFormat="1" applyFont="1" applyBorder="1" applyAlignment="1">
      <alignment horizontal="left"/>
    </xf>
    <xf numFmtId="4" fontId="1" fillId="0" borderId="25" xfId="0" applyNumberFormat="1" applyFont="1" applyBorder="1" applyAlignment="1">
      <alignment horizontal="left"/>
    </xf>
    <xf numFmtId="176" fontId="0" fillId="0" borderId="33" xfId="0" applyNumberFormat="1" applyFont="1" applyFill="1" applyBorder="1" applyAlignment="1">
      <alignment horizontal="center" vertical="center"/>
    </xf>
    <xf numFmtId="176" fontId="0" fillId="0" borderId="25" xfId="0" applyNumberFormat="1" applyFont="1" applyFill="1" applyBorder="1" applyAlignment="1">
      <alignment horizontal="center" vertical="center"/>
    </xf>
    <xf numFmtId="0" fontId="0" fillId="0" borderId="43"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4"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8" xfId="0" applyFont="1" applyBorder="1" applyAlignment="1">
      <alignment horizontal="center" vertical="center" wrapText="1"/>
    </xf>
    <xf numFmtId="0" fontId="1" fillId="0" borderId="15" xfId="0" applyFont="1" applyBorder="1" applyAlignment="1">
      <alignment horizontal="right" vertical="center" wrapText="1"/>
    </xf>
    <xf numFmtId="0" fontId="1" fillId="0" borderId="13" xfId="0" applyFont="1" applyBorder="1" applyAlignment="1">
      <alignment horizontal="right" vertical="center" wrapText="1"/>
    </xf>
    <xf numFmtId="4" fontId="1" fillId="0" borderId="10" xfId="0" applyNumberFormat="1" applyFont="1" applyBorder="1" applyAlignment="1">
      <alignment horizontal="center"/>
    </xf>
    <xf numFmtId="0" fontId="1" fillId="0" borderId="33" xfId="0" applyFont="1" applyBorder="1" applyAlignment="1">
      <alignment horizontal="right"/>
    </xf>
    <xf numFmtId="0" fontId="1" fillId="0" borderId="28" xfId="0" applyFont="1" applyBorder="1" applyAlignment="1">
      <alignment horizontal="right"/>
    </xf>
    <xf numFmtId="0" fontId="1" fillId="0" borderId="25" xfId="0" applyFont="1" applyBorder="1" applyAlignment="1">
      <alignment horizontal="right"/>
    </xf>
    <xf numFmtId="0" fontId="0" fillId="0" borderId="10" xfId="0" applyFont="1" applyBorder="1" applyAlignment="1">
      <alignment horizontal="center" vertical="center" wrapText="1"/>
    </xf>
    <xf numFmtId="0" fontId="1" fillId="0" borderId="0" xfId="0" applyFont="1" applyAlignment="1">
      <alignment horizontal="center" vertical="center" wrapText="1"/>
    </xf>
    <xf numFmtId="0" fontId="1" fillId="45" borderId="47" xfId="0" applyFont="1" applyFill="1" applyBorder="1" applyAlignment="1">
      <alignment horizontal="center" vertical="center" wrapText="1"/>
    </xf>
    <xf numFmtId="0" fontId="1" fillId="45" borderId="42" xfId="0" applyFont="1" applyFill="1" applyBorder="1" applyAlignment="1">
      <alignment horizontal="center" vertical="center" wrapText="1"/>
    </xf>
    <xf numFmtId="0" fontId="1" fillId="45" borderId="86" xfId="0" applyFont="1" applyFill="1" applyBorder="1" applyAlignment="1">
      <alignment horizontal="center" vertical="center" wrapText="1"/>
    </xf>
    <xf numFmtId="0" fontId="1" fillId="35" borderId="11" xfId="0" applyFont="1" applyFill="1" applyBorder="1" applyAlignment="1">
      <alignment horizontal="center" vertical="center"/>
    </xf>
    <xf numFmtId="0" fontId="1" fillId="35" borderId="12" xfId="0" applyFont="1" applyFill="1" applyBorder="1" applyAlignment="1">
      <alignment horizontal="center" vertical="center"/>
    </xf>
    <xf numFmtId="0" fontId="0" fillId="0" borderId="10" xfId="0" applyFont="1" applyBorder="1" applyAlignment="1">
      <alignment horizontal="center" wrapText="1"/>
    </xf>
    <xf numFmtId="0" fontId="0" fillId="7"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0" fillId="36" borderId="33" xfId="0" applyFont="1" applyFill="1" applyBorder="1" applyAlignment="1">
      <alignment horizontal="center" vertical="center" wrapText="1"/>
    </xf>
    <xf numFmtId="0" fontId="0" fillId="36" borderId="25"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75"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8" fillId="0" borderId="33"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5" xfId="0" applyFont="1" applyBorder="1" applyAlignment="1">
      <alignment horizontal="center" vertical="center" wrapText="1"/>
    </xf>
    <xf numFmtId="0" fontId="20" fillId="0" borderId="0" xfId="0" applyFont="1" applyAlignment="1">
      <alignment horizontal="center" vertical="center" wrapText="1"/>
    </xf>
    <xf numFmtId="0" fontId="1" fillId="0" borderId="87" xfId="0" applyFont="1" applyBorder="1" applyAlignment="1">
      <alignment horizontal="center" vertical="center"/>
    </xf>
    <xf numFmtId="0" fontId="1" fillId="0" borderId="42" xfId="0" applyFont="1" applyBorder="1" applyAlignment="1">
      <alignment horizontal="center" vertical="center"/>
    </xf>
    <xf numFmtId="0" fontId="1" fillId="0" borderId="86"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xf>
    <xf numFmtId="0" fontId="0" fillId="0" borderId="0" xfId="0" applyFont="1" applyFill="1" applyBorder="1" applyAlignment="1">
      <alignment horizontal="center" vertical="center"/>
    </xf>
    <xf numFmtId="0" fontId="1" fillId="0" borderId="49" xfId="0" applyFont="1" applyBorder="1" applyAlignment="1">
      <alignment horizontal="center"/>
    </xf>
    <xf numFmtId="0" fontId="1" fillId="0" borderId="28" xfId="0" applyFont="1" applyBorder="1" applyAlignment="1">
      <alignment horizontal="center"/>
    </xf>
    <xf numFmtId="0" fontId="1" fillId="0" borderId="25" xfId="0" applyFont="1" applyBorder="1" applyAlignment="1">
      <alignment horizontal="center"/>
    </xf>
    <xf numFmtId="0" fontId="10" fillId="0" borderId="49" xfId="0" applyFont="1" applyBorder="1" applyAlignment="1">
      <alignment horizontal="center" vertical="center"/>
    </xf>
    <xf numFmtId="0" fontId="10" fillId="0" borderId="28" xfId="0" applyFont="1" applyBorder="1" applyAlignment="1">
      <alignment horizontal="center" vertical="center"/>
    </xf>
    <xf numFmtId="0" fontId="0" fillId="3" borderId="33" xfId="0" applyFont="1" applyFill="1" applyBorder="1" applyAlignment="1">
      <alignment horizontal="center" vertical="center" wrapText="1"/>
    </xf>
    <xf numFmtId="0" fontId="0" fillId="3" borderId="28"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0" borderId="41" xfId="0" applyFont="1" applyBorder="1" applyAlignment="1">
      <alignment horizontal="right" vertical="center" wrapText="1"/>
    </xf>
    <xf numFmtId="0" fontId="0" fillId="0" borderId="60" xfId="0" applyFont="1" applyBorder="1" applyAlignment="1">
      <alignment horizontal="right" vertical="center" wrapText="1"/>
    </xf>
    <xf numFmtId="0" fontId="0" fillId="0" borderId="79" xfId="0" applyFont="1" applyBorder="1" applyAlignment="1">
      <alignment horizontal="right" vertical="center" wrapText="1"/>
    </xf>
    <xf numFmtId="0" fontId="0" fillId="0" borderId="41" xfId="0" applyFont="1" applyBorder="1" applyAlignment="1">
      <alignment horizontal="left" vertical="center" wrapText="1"/>
    </xf>
    <xf numFmtId="0" fontId="0" fillId="0" borderId="60" xfId="0" applyFont="1" applyBorder="1" applyAlignment="1">
      <alignment horizontal="left" vertical="center" wrapText="1"/>
    </xf>
    <xf numFmtId="0" fontId="0" fillId="0" borderId="79" xfId="0" applyFont="1" applyBorder="1" applyAlignment="1">
      <alignment horizontal="left" vertical="center" wrapText="1"/>
    </xf>
    <xf numFmtId="0" fontId="0" fillId="0" borderId="14" xfId="0" applyFont="1" applyBorder="1" applyAlignment="1">
      <alignment horizontal="center" vertical="center"/>
    </xf>
    <xf numFmtId="0" fontId="0" fillId="0"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25" xfId="0" applyFont="1" applyFill="1" applyBorder="1" applyAlignment="1">
      <alignment horizontal="center" vertical="center" wrapText="1"/>
    </xf>
    <xf numFmtId="4" fontId="0" fillId="0" borderId="49" xfId="0" applyNumberFormat="1" applyFont="1" applyBorder="1" applyAlignment="1">
      <alignment horizontal="center" vertical="center" wrapText="1"/>
    </xf>
    <xf numFmtId="4" fontId="0" fillId="0" borderId="28" xfId="0" applyNumberFormat="1" applyFont="1" applyBorder="1" applyAlignment="1">
      <alignment horizontal="center" vertical="center" wrapText="1"/>
    </xf>
    <xf numFmtId="4" fontId="9" fillId="0" borderId="49" xfId="0" applyNumberFormat="1" applyFont="1" applyBorder="1" applyAlignment="1">
      <alignment horizontal="center"/>
    </xf>
    <xf numFmtId="4" fontId="9" fillId="0" borderId="28" xfId="0" applyNumberFormat="1" applyFont="1" applyBorder="1" applyAlignment="1">
      <alignment horizontal="center"/>
    </xf>
    <xf numFmtId="4" fontId="1" fillId="0" borderId="33" xfId="0" applyNumberFormat="1" applyFont="1" applyBorder="1" applyAlignment="1">
      <alignment horizontal="left" vertical="center"/>
    </xf>
    <xf numFmtId="4" fontId="1" fillId="0" borderId="25" xfId="0" applyNumberFormat="1" applyFont="1" applyBorder="1" applyAlignment="1">
      <alignment horizontal="left" vertical="center"/>
    </xf>
    <xf numFmtId="4" fontId="6" fillId="0" borderId="33" xfId="0" applyNumberFormat="1" applyFont="1" applyBorder="1" applyAlignment="1">
      <alignment horizontal="center" vertical="center"/>
    </xf>
    <xf numFmtId="4" fontId="6" fillId="0" borderId="25" xfId="0" applyNumberFormat="1" applyFont="1" applyBorder="1" applyAlignment="1">
      <alignment horizontal="center" vertical="center"/>
    </xf>
    <xf numFmtId="0" fontId="6" fillId="35" borderId="87" xfId="0" applyFont="1" applyFill="1" applyBorder="1" applyAlignment="1">
      <alignment horizontal="center" vertical="center"/>
    </xf>
    <xf numFmtId="0" fontId="6" fillId="35" borderId="42" xfId="0" applyFont="1" applyFill="1" applyBorder="1" applyAlignment="1">
      <alignment horizontal="center" vertical="center"/>
    </xf>
    <xf numFmtId="0" fontId="6" fillId="35" borderId="86" xfId="0" applyFont="1" applyFill="1" applyBorder="1" applyAlignment="1">
      <alignment horizontal="center" vertical="center"/>
    </xf>
    <xf numFmtId="0" fontId="6" fillId="45" borderId="49" xfId="0" applyNumberFormat="1" applyFont="1" applyFill="1" applyBorder="1" applyAlignment="1">
      <alignment horizontal="center" vertical="center" wrapText="1"/>
    </xf>
    <xf numFmtId="0" fontId="6" fillId="45" borderId="28" xfId="0" applyNumberFormat="1" applyFont="1" applyFill="1" applyBorder="1" applyAlignment="1">
      <alignment horizontal="center" vertical="center" wrapText="1"/>
    </xf>
    <xf numFmtId="0" fontId="6" fillId="45" borderId="57" xfId="0" applyNumberFormat="1" applyFont="1" applyFill="1" applyBorder="1" applyAlignment="1">
      <alignment horizontal="center" vertical="center" wrapText="1"/>
    </xf>
    <xf numFmtId="0" fontId="6" fillId="0" borderId="49" xfId="0" applyFont="1" applyBorder="1" applyAlignment="1">
      <alignment horizontal="center" vertical="center"/>
    </xf>
    <xf numFmtId="0" fontId="6" fillId="0" borderId="28" xfId="0" applyFont="1" applyBorder="1" applyAlignment="1">
      <alignment horizontal="center" vertical="center"/>
    </xf>
    <xf numFmtId="0" fontId="6" fillId="0" borderId="57" xfId="0" applyFont="1" applyBorder="1" applyAlignment="1">
      <alignment horizontal="center" vertical="center"/>
    </xf>
    <xf numFmtId="4" fontId="6" fillId="0" borderId="59" xfId="0" applyNumberFormat="1" applyFont="1" applyBorder="1" applyAlignment="1">
      <alignment horizontal="center" vertical="center"/>
    </xf>
    <xf numFmtId="4" fontId="6" fillId="0" borderId="60" xfId="0" applyNumberFormat="1" applyFont="1" applyBorder="1" applyAlignment="1">
      <alignment horizontal="center" vertical="center"/>
    </xf>
    <xf numFmtId="4" fontId="6" fillId="0" borderId="79" xfId="0" applyNumberFormat="1" applyFont="1" applyBorder="1" applyAlignment="1">
      <alignment horizontal="center" vertical="center"/>
    </xf>
    <xf numFmtId="0" fontId="1" fillId="0" borderId="87"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86" xfId="0" applyFont="1" applyBorder="1" applyAlignment="1">
      <alignment horizontal="center" vertical="center" wrapText="1"/>
    </xf>
    <xf numFmtId="0" fontId="1" fillId="35" borderId="10" xfId="0" applyFont="1" applyFill="1" applyBorder="1" applyAlignment="1">
      <alignment horizontal="center" vertical="center"/>
    </xf>
    <xf numFmtId="0" fontId="1" fillId="47" borderId="67" xfId="0" applyFont="1" applyFill="1" applyBorder="1" applyAlignment="1">
      <alignment horizontal="center" vertical="center" textRotation="90" wrapText="1"/>
    </xf>
    <xf numFmtId="0" fontId="1" fillId="47" borderId="88" xfId="0" applyFont="1" applyFill="1" applyBorder="1" applyAlignment="1">
      <alignment horizontal="center" vertical="center" textRotation="90" wrapText="1"/>
    </xf>
    <xf numFmtId="0" fontId="68" fillId="33" borderId="89" xfId="0" applyFont="1" applyFill="1" applyBorder="1" applyAlignment="1">
      <alignment horizontal="center" vertical="center" wrapText="1"/>
    </xf>
    <xf numFmtId="0" fontId="68" fillId="33" borderId="72" xfId="0" applyFont="1" applyFill="1" applyBorder="1" applyAlignment="1">
      <alignment horizontal="center" vertical="center" wrapText="1"/>
    </xf>
    <xf numFmtId="0" fontId="68" fillId="33" borderId="67" xfId="0" applyFont="1" applyFill="1" applyBorder="1" applyAlignment="1">
      <alignment horizontal="center" vertical="center" wrapText="1"/>
    </xf>
    <xf numFmtId="0" fontId="68" fillId="33" borderId="53" xfId="0" applyFont="1" applyFill="1" applyBorder="1" applyAlignment="1">
      <alignment horizontal="center" vertical="center" wrapText="1"/>
    </xf>
    <xf numFmtId="0" fontId="68" fillId="33" borderId="68" xfId="0" applyFont="1" applyFill="1" applyBorder="1" applyAlignment="1">
      <alignment horizontal="center" vertical="center" wrapText="1"/>
    </xf>
    <xf numFmtId="0" fontId="68" fillId="33" borderId="73" xfId="0" applyFont="1" applyFill="1" applyBorder="1" applyAlignment="1">
      <alignment horizontal="center" vertical="center" wrapText="1"/>
    </xf>
    <xf numFmtId="0" fontId="7" fillId="35" borderId="64" xfId="0" applyFont="1" applyFill="1" applyBorder="1" applyAlignment="1">
      <alignment horizontal="center" vertical="center" wrapText="1"/>
    </xf>
    <xf numFmtId="0" fontId="7" fillId="35" borderId="65" xfId="0" applyFont="1" applyFill="1" applyBorder="1" applyAlignment="1">
      <alignment horizontal="center" vertical="center" wrapText="1"/>
    </xf>
    <xf numFmtId="0" fontId="7" fillId="35" borderId="40" xfId="0" applyFont="1" applyFill="1" applyBorder="1" applyAlignment="1">
      <alignment horizontal="center" vertical="center" wrapText="1"/>
    </xf>
    <xf numFmtId="0" fontId="7" fillId="35" borderId="9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32" xfId="0" applyFont="1" applyFill="1" applyBorder="1" applyAlignment="1">
      <alignment horizontal="center" vertical="center" wrapText="1"/>
    </xf>
    <xf numFmtId="0" fontId="6" fillId="45" borderId="41" xfId="0" applyFont="1" applyFill="1" applyBorder="1" applyAlignment="1">
      <alignment horizontal="right" vertical="center"/>
    </xf>
    <xf numFmtId="0" fontId="6" fillId="45" borderId="79" xfId="0" applyFont="1" applyFill="1" applyBorder="1" applyAlignment="1">
      <alignment horizontal="right" vertical="center"/>
    </xf>
    <xf numFmtId="0" fontId="1" fillId="37" borderId="12" xfId="0" applyFont="1" applyFill="1" applyBorder="1" applyAlignment="1">
      <alignment horizontal="center" vertical="center" wrapText="1"/>
    </xf>
    <xf numFmtId="0" fontId="1" fillId="41" borderId="64" xfId="0" applyFont="1" applyFill="1" applyBorder="1" applyAlignment="1">
      <alignment horizontal="center" vertical="center" wrapText="1"/>
    </xf>
    <xf numFmtId="0" fontId="1" fillId="41" borderId="65" xfId="0" applyFont="1" applyFill="1" applyBorder="1" applyAlignment="1">
      <alignment horizontal="center" vertical="center" wrapText="1"/>
    </xf>
    <xf numFmtId="0" fontId="1" fillId="41" borderId="40" xfId="0" applyFont="1" applyFill="1" applyBorder="1" applyAlignment="1">
      <alignment horizontal="center" vertical="center" wrapText="1"/>
    </xf>
    <xf numFmtId="0" fontId="6" fillId="7" borderId="71" xfId="0" applyFont="1" applyFill="1" applyBorder="1" applyAlignment="1">
      <alignment horizontal="center" vertical="center" wrapText="1"/>
    </xf>
    <xf numFmtId="0" fontId="6" fillId="7" borderId="48"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19" borderId="90" xfId="0" applyFont="1" applyFill="1" applyBorder="1" applyAlignment="1">
      <alignment horizontal="center" vertical="center" wrapText="1"/>
    </xf>
    <xf numFmtId="0" fontId="6" fillId="19" borderId="21" xfId="0" applyFont="1" applyFill="1" applyBorder="1" applyAlignment="1">
      <alignment horizontal="center" vertical="center" wrapText="1"/>
    </xf>
    <xf numFmtId="0" fontId="6" fillId="19" borderId="32" xfId="0" applyFont="1" applyFill="1" applyBorder="1" applyAlignment="1">
      <alignment horizontal="center" vertical="center" wrapText="1"/>
    </xf>
    <xf numFmtId="0" fontId="1" fillId="19" borderId="90" xfId="0" applyFont="1" applyFill="1" applyBorder="1" applyAlignment="1">
      <alignment horizontal="center" vertical="center" wrapText="1"/>
    </xf>
    <xf numFmtId="0" fontId="1" fillId="19" borderId="21" xfId="0" applyFont="1" applyFill="1" applyBorder="1" applyAlignment="1">
      <alignment horizontal="center" vertical="center" wrapText="1"/>
    </xf>
    <xf numFmtId="0" fontId="1" fillId="19" borderId="32" xfId="0" applyFont="1" applyFill="1" applyBorder="1" applyAlignment="1">
      <alignment horizontal="center" vertical="center" wrapText="1"/>
    </xf>
    <xf numFmtId="0" fontId="6" fillId="6" borderId="71" xfId="0" applyFont="1" applyFill="1" applyBorder="1" applyAlignment="1">
      <alignment horizontal="center" vertical="center" wrapText="1"/>
    </xf>
    <xf numFmtId="0" fontId="6" fillId="6" borderId="48"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6" fillId="41" borderId="64" xfId="0" applyFont="1" applyFill="1" applyBorder="1" applyAlignment="1">
      <alignment horizontal="center" vertical="center" wrapText="1"/>
    </xf>
    <xf numFmtId="0" fontId="6" fillId="41" borderId="65" xfId="0" applyFont="1" applyFill="1" applyBorder="1" applyAlignment="1">
      <alignment horizontal="center" vertical="center" wrapText="1"/>
    </xf>
    <xf numFmtId="0" fontId="6" fillId="41" borderId="40" xfId="0" applyFont="1" applyFill="1" applyBorder="1" applyAlignment="1">
      <alignment horizontal="center" vertical="center" wrapText="1"/>
    </xf>
    <xf numFmtId="0" fontId="6" fillId="10" borderId="71" xfId="0" applyFont="1" applyFill="1" applyBorder="1" applyAlignment="1">
      <alignment horizontal="center" vertical="center" wrapText="1"/>
    </xf>
    <xf numFmtId="0" fontId="6" fillId="10" borderId="48" xfId="0" applyFont="1" applyFill="1" applyBorder="1" applyAlignment="1">
      <alignment horizontal="center" vertical="center" wrapText="1"/>
    </xf>
    <xf numFmtId="0" fontId="6" fillId="10" borderId="34" xfId="0" applyFont="1" applyFill="1" applyBorder="1" applyAlignment="1">
      <alignment horizontal="center" vertical="center" wrapText="1"/>
    </xf>
    <xf numFmtId="0" fontId="1" fillId="37" borderId="89" xfId="0" applyFont="1" applyFill="1" applyBorder="1" applyAlignment="1">
      <alignment horizontal="center" vertical="center" wrapText="1"/>
    </xf>
    <xf numFmtId="0" fontId="1" fillId="37" borderId="34" xfId="0" applyFont="1" applyFill="1" applyBorder="1" applyAlignment="1">
      <alignment horizontal="center" vertical="center" wrapText="1"/>
    </xf>
    <xf numFmtId="0" fontId="0" fillId="34" borderId="32" xfId="0" applyFont="1" applyFill="1" applyBorder="1" applyAlignment="1">
      <alignment horizontal="left" vertical="center" wrapText="1"/>
    </xf>
    <xf numFmtId="0" fontId="6" fillId="48" borderId="90" xfId="0" applyFont="1" applyFill="1" applyBorder="1" applyAlignment="1">
      <alignment horizontal="center" vertical="center" wrapText="1"/>
    </xf>
    <xf numFmtId="0" fontId="6" fillId="48" borderId="21" xfId="0" applyFont="1" applyFill="1" applyBorder="1" applyAlignment="1">
      <alignment horizontal="center" vertical="center" wrapText="1"/>
    </xf>
    <xf numFmtId="0" fontId="6" fillId="48" borderId="32" xfId="0" applyFont="1" applyFill="1" applyBorder="1" applyAlignment="1">
      <alignment horizontal="center" vertical="center" wrapText="1"/>
    </xf>
    <xf numFmtId="0" fontId="1" fillId="48" borderId="90" xfId="0" applyFont="1" applyFill="1" applyBorder="1" applyAlignment="1">
      <alignment horizontal="center" vertical="center" wrapText="1"/>
    </xf>
    <xf numFmtId="0" fontId="1" fillId="48" borderId="21" xfId="0" applyFont="1" applyFill="1" applyBorder="1" applyAlignment="1">
      <alignment horizontal="center" vertical="center" wrapText="1"/>
    </xf>
    <xf numFmtId="0" fontId="1" fillId="48" borderId="32" xfId="0" applyFont="1" applyFill="1" applyBorder="1" applyAlignment="1">
      <alignment horizontal="center" vertical="center" wrapText="1"/>
    </xf>
    <xf numFmtId="0" fontId="1" fillId="0" borderId="10" xfId="0" applyFont="1" applyBorder="1" applyAlignment="1">
      <alignment horizontal="center"/>
    </xf>
    <xf numFmtId="0" fontId="1"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13" borderId="10" xfId="0" applyFont="1" applyFill="1" applyBorder="1" applyAlignment="1">
      <alignment horizontal="center" vertical="center" wrapText="1"/>
    </xf>
    <xf numFmtId="0" fontId="1" fillId="13" borderId="30" xfId="0"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8" xfId="0" applyFont="1" applyBorder="1" applyAlignment="1">
      <alignment horizontal="center" vertical="center" wrapText="1"/>
    </xf>
    <xf numFmtId="0" fontId="1" fillId="0" borderId="33" xfId="0" applyFont="1" applyBorder="1" applyAlignment="1">
      <alignment horizontal="center"/>
    </xf>
    <xf numFmtId="0" fontId="0" fillId="0" borderId="43" xfId="0" applyFont="1" applyBorder="1" applyAlignment="1">
      <alignment horizontal="center" wrapText="1"/>
    </xf>
    <xf numFmtId="0" fontId="0" fillId="0" borderId="29" xfId="0" applyFont="1" applyBorder="1" applyAlignment="1">
      <alignment horizontal="center" wrapText="1"/>
    </xf>
    <xf numFmtId="0" fontId="0" fillId="0" borderId="82" xfId="0" applyFont="1" applyBorder="1" applyAlignment="1">
      <alignment horizontal="center" wrapText="1"/>
    </xf>
    <xf numFmtId="0" fontId="0" fillId="0" borderId="23" xfId="0" applyFont="1" applyBorder="1" applyAlignment="1">
      <alignment horizontal="center" wrapText="1"/>
    </xf>
    <xf numFmtId="0" fontId="0" fillId="0" borderId="27" xfId="0" applyFont="1" applyBorder="1" applyAlignment="1">
      <alignment horizontal="center" wrapText="1"/>
    </xf>
    <xf numFmtId="0" fontId="0" fillId="0" borderId="24" xfId="0" applyFont="1" applyBorder="1" applyAlignment="1">
      <alignment horizontal="center" wrapText="1"/>
    </xf>
    <xf numFmtId="0" fontId="0" fillId="0" borderId="33"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5" xfId="0" applyFont="1" applyBorder="1" applyAlignment="1">
      <alignment horizontal="center" vertical="center" wrapText="1"/>
    </xf>
    <xf numFmtId="184" fontId="1" fillId="0" borderId="41" xfId="0" applyNumberFormat="1" applyFont="1" applyBorder="1" applyAlignment="1">
      <alignment horizontal="center"/>
    </xf>
    <xf numFmtId="184" fontId="1" fillId="0" borderId="60" xfId="0" applyNumberFormat="1" applyFont="1" applyBorder="1" applyAlignment="1">
      <alignment horizontal="center"/>
    </xf>
    <xf numFmtId="184" fontId="1" fillId="0" borderId="79" xfId="0" applyNumberFormat="1" applyFont="1" applyBorder="1" applyAlignment="1">
      <alignment horizontal="center"/>
    </xf>
    <xf numFmtId="0" fontId="16" fillId="0" borderId="49" xfId="0" applyFont="1" applyBorder="1" applyAlignment="1">
      <alignment horizontal="center" vertical="center"/>
    </xf>
    <xf numFmtId="0" fontId="16" fillId="0" borderId="28" xfId="0" applyFont="1" applyBorder="1" applyAlignment="1">
      <alignment horizontal="center" vertical="center"/>
    </xf>
    <xf numFmtId="0" fontId="16" fillId="0" borderId="57" xfId="0" applyFont="1" applyBorder="1" applyAlignment="1">
      <alignment horizontal="center" vertical="center"/>
    </xf>
    <xf numFmtId="0" fontId="1" fillId="0" borderId="67" xfId="0" applyFont="1" applyBorder="1" applyAlignment="1">
      <alignment horizontal="center"/>
    </xf>
    <xf numFmtId="0" fontId="1" fillId="0" borderId="0" xfId="0" applyFont="1" applyBorder="1" applyAlignment="1">
      <alignment horizontal="center"/>
    </xf>
    <xf numFmtId="0" fontId="1" fillId="0" borderId="65" xfId="0" applyFont="1" applyBorder="1" applyAlignment="1">
      <alignment horizontal="center"/>
    </xf>
    <xf numFmtId="0" fontId="1" fillId="0" borderId="68" xfId="0" applyFont="1" applyBorder="1" applyAlignment="1">
      <alignment horizontal="center"/>
    </xf>
    <xf numFmtId="0" fontId="1" fillId="0" borderId="69" xfId="0" applyFont="1" applyBorder="1" applyAlignment="1">
      <alignment horizontal="center"/>
    </xf>
    <xf numFmtId="0" fontId="1" fillId="0" borderId="40" xfId="0" applyFont="1" applyBorder="1" applyAlignment="1">
      <alignment horizontal="center"/>
    </xf>
    <xf numFmtId="177" fontId="1" fillId="46" borderId="33" xfId="0" applyNumberFormat="1" applyFont="1" applyFill="1" applyBorder="1" applyAlignment="1">
      <alignment horizontal="center"/>
    </xf>
    <xf numFmtId="177" fontId="1" fillId="46" borderId="25" xfId="0" applyNumberFormat="1" applyFont="1" applyFill="1" applyBorder="1" applyAlignment="1">
      <alignment horizontal="center"/>
    </xf>
    <xf numFmtId="4" fontId="0" fillId="0" borderId="33" xfId="0" applyNumberFormat="1" applyFont="1" applyBorder="1" applyAlignment="1">
      <alignment horizontal="center"/>
    </xf>
    <xf numFmtId="4" fontId="0" fillId="0" borderId="28" xfId="0" applyNumberFormat="1" applyFont="1" applyBorder="1" applyAlignment="1">
      <alignment horizontal="center"/>
    </xf>
    <xf numFmtId="4" fontId="0" fillId="0" borderId="25" xfId="0" applyNumberFormat="1" applyFont="1" applyBorder="1" applyAlignment="1">
      <alignment horizontal="center"/>
    </xf>
    <xf numFmtId="4" fontId="0" fillId="0" borderId="23" xfId="0" applyNumberFormat="1" applyFont="1" applyBorder="1" applyAlignment="1">
      <alignment horizontal="center"/>
    </xf>
    <xf numFmtId="4" fontId="0" fillId="0" borderId="27" xfId="0" applyNumberFormat="1" applyFont="1" applyBorder="1" applyAlignment="1">
      <alignment horizontal="center"/>
    </xf>
    <xf numFmtId="4" fontId="0" fillId="0" borderId="24" xfId="0" applyNumberFormat="1" applyFont="1" applyBorder="1" applyAlignment="1">
      <alignment horizontal="center"/>
    </xf>
    <xf numFmtId="0" fontId="1" fillId="0" borderId="30" xfId="0" applyFont="1" applyFill="1" applyBorder="1" applyAlignment="1">
      <alignment horizontal="center" vertical="center" wrapText="1"/>
    </xf>
    <xf numFmtId="0" fontId="0" fillId="0" borderId="13" xfId="0" applyFont="1" applyBorder="1" applyAlignment="1">
      <alignment horizontal="left" vertical="center" wrapText="1"/>
    </xf>
    <xf numFmtId="0" fontId="6" fillId="45" borderId="42" xfId="0" applyNumberFormat="1" applyFont="1" applyFill="1" applyBorder="1" applyAlignment="1">
      <alignment horizontal="left" vertical="center" wrapText="1"/>
    </xf>
    <xf numFmtId="0" fontId="6" fillId="45" borderId="86" xfId="0" applyNumberFormat="1" applyFont="1" applyFill="1" applyBorder="1" applyAlignment="1">
      <alignment horizontal="left" vertical="center" wrapText="1"/>
    </xf>
    <xf numFmtId="0" fontId="6" fillId="35" borderId="39" xfId="0" applyFont="1" applyFill="1" applyBorder="1" applyAlignment="1">
      <alignment horizontal="center" vertical="center"/>
    </xf>
    <xf numFmtId="0" fontId="1" fillId="48" borderId="10" xfId="0" applyFont="1" applyFill="1" applyBorder="1" applyAlignment="1">
      <alignment horizontal="center" vertical="center" wrapText="1"/>
    </xf>
    <xf numFmtId="0" fontId="1" fillId="38" borderId="14" xfId="0" applyFont="1" applyFill="1" applyBorder="1" applyAlignment="1">
      <alignment horizontal="center" vertical="center" wrapText="1"/>
    </xf>
    <xf numFmtId="0" fontId="1" fillId="38" borderId="10" xfId="0" applyFont="1" applyFill="1" applyBorder="1" applyAlignment="1">
      <alignment horizontal="center" vertical="center" wrapText="1"/>
    </xf>
    <xf numFmtId="0" fontId="1" fillId="8" borderId="10" xfId="0" applyFont="1" applyFill="1" applyBorder="1" applyAlignment="1">
      <alignment horizontal="center" vertical="center" wrapText="1"/>
    </xf>
    <xf numFmtId="0" fontId="6" fillId="0" borderId="14" xfId="0" applyFont="1" applyBorder="1" applyAlignment="1">
      <alignment horizontal="center" vertical="center"/>
    </xf>
    <xf numFmtId="0" fontId="6" fillId="0" borderId="10" xfId="0" applyFont="1" applyBorder="1" applyAlignment="1">
      <alignment horizontal="center" vertical="center"/>
    </xf>
    <xf numFmtId="0" fontId="6" fillId="0" borderId="30" xfId="0" applyFont="1" applyBorder="1" applyAlignment="1">
      <alignment horizontal="center" vertical="center"/>
    </xf>
    <xf numFmtId="0" fontId="6" fillId="35" borderId="11" xfId="0" applyFont="1" applyFill="1" applyBorder="1" applyAlignment="1">
      <alignment horizontal="center" vertical="center"/>
    </xf>
    <xf numFmtId="0" fontId="6" fillId="35" borderId="12" xfId="0" applyFont="1" applyFill="1" applyBorder="1" applyAlignment="1">
      <alignment horizontal="center" vertical="center"/>
    </xf>
    <xf numFmtId="0" fontId="6" fillId="35" borderId="35" xfId="0" applyFont="1" applyFill="1" applyBorder="1" applyAlignment="1">
      <alignment horizontal="center" vertical="center"/>
    </xf>
    <xf numFmtId="4" fontId="6" fillId="0" borderId="15" xfId="0" applyNumberFormat="1" applyFont="1" applyBorder="1" applyAlignment="1">
      <alignment horizontal="center" vertical="center"/>
    </xf>
    <xf numFmtId="4" fontId="6" fillId="0" borderId="13" xfId="0" applyNumberFormat="1" applyFont="1" applyBorder="1" applyAlignment="1">
      <alignment horizontal="center" vertical="center"/>
    </xf>
    <xf numFmtId="0" fontId="1" fillId="45" borderId="42" xfId="0" applyNumberFormat="1" applyFont="1" applyFill="1" applyBorder="1" applyAlignment="1">
      <alignment horizontal="center" vertical="center" wrapText="1"/>
    </xf>
    <xf numFmtId="0" fontId="1" fillId="45" borderId="86" xfId="0" applyNumberFormat="1" applyFont="1" applyFill="1" applyBorder="1" applyAlignment="1">
      <alignment horizontal="center" vertical="center" wrapText="1"/>
    </xf>
    <xf numFmtId="0" fontId="1" fillId="35" borderId="87" xfId="0" applyFont="1" applyFill="1" applyBorder="1" applyAlignment="1">
      <alignment horizontal="center" vertical="center"/>
    </xf>
    <xf numFmtId="0" fontId="1" fillId="35" borderId="42" xfId="0" applyFont="1" applyFill="1" applyBorder="1" applyAlignment="1">
      <alignment horizontal="center" vertical="center"/>
    </xf>
    <xf numFmtId="0" fontId="1" fillId="0" borderId="59" xfId="0" applyFont="1" applyBorder="1" applyAlignment="1">
      <alignment horizontal="center" vertical="center" wrapText="1"/>
    </xf>
    <xf numFmtId="0" fontId="1" fillId="0" borderId="79" xfId="0" applyFont="1" applyBorder="1" applyAlignment="1">
      <alignment horizontal="center" vertical="center" wrapText="1"/>
    </xf>
    <xf numFmtId="0" fontId="10" fillId="0" borderId="51" xfId="0" applyFont="1" applyBorder="1" applyAlignment="1">
      <alignment horizontal="center" vertical="center"/>
    </xf>
    <xf numFmtId="0" fontId="10" fillId="0" borderId="50" xfId="0" applyFont="1" applyBorder="1" applyAlignment="1">
      <alignment horizontal="center" vertical="center"/>
    </xf>
    <xf numFmtId="0" fontId="10" fillId="0" borderId="44"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6" fillId="0" borderId="87" xfId="0" applyFont="1" applyBorder="1" applyAlignment="1">
      <alignment horizontal="right" vertical="center"/>
    </xf>
    <xf numFmtId="0" fontId="6" fillId="0" borderId="42" xfId="0" applyFont="1" applyBorder="1" applyAlignment="1">
      <alignment horizontal="right" vertical="center"/>
    </xf>
    <xf numFmtId="0" fontId="6" fillId="0" borderId="86" xfId="0" applyFont="1" applyBorder="1" applyAlignment="1">
      <alignment horizontal="right" vertical="center"/>
    </xf>
    <xf numFmtId="0" fontId="1" fillId="45" borderId="42" xfId="0" applyNumberFormat="1" applyFont="1" applyFill="1" applyBorder="1" applyAlignment="1">
      <alignment horizontal="left" vertical="center" wrapText="1"/>
    </xf>
    <xf numFmtId="0" fontId="1" fillId="45" borderId="86" xfId="0" applyNumberFormat="1" applyFont="1" applyFill="1" applyBorder="1" applyAlignment="1">
      <alignment horizontal="left" vertical="center" wrapText="1"/>
    </xf>
    <xf numFmtId="0" fontId="0" fillId="0" borderId="10" xfId="0" applyBorder="1" applyAlignment="1">
      <alignment horizontal="center" vertical="center" wrapText="1"/>
    </xf>
    <xf numFmtId="0" fontId="0" fillId="0" borderId="30" xfId="0" applyBorder="1" applyAlignment="1">
      <alignment horizontal="center" vertical="center" wrapText="1"/>
    </xf>
    <xf numFmtId="0" fontId="0" fillId="0" borderId="13" xfId="0" applyBorder="1" applyAlignment="1">
      <alignment horizontal="center" vertical="center" wrapText="1"/>
    </xf>
    <xf numFmtId="0" fontId="0" fillId="0" borderId="31" xfId="0" applyBorder="1" applyAlignment="1">
      <alignment horizontal="center" vertical="center" wrapText="1"/>
    </xf>
    <xf numFmtId="0" fontId="0" fillId="0" borderId="10" xfId="0" applyBorder="1" applyAlignment="1">
      <alignment horizontal="center" wrapText="1"/>
    </xf>
    <xf numFmtId="0" fontId="0" fillId="0" borderId="30" xfId="0" applyBorder="1" applyAlignment="1">
      <alignment horizontal="center" wrapText="1"/>
    </xf>
    <xf numFmtId="0" fontId="0" fillId="0" borderId="12" xfId="0" applyBorder="1" applyAlignment="1">
      <alignment horizontal="center"/>
    </xf>
    <xf numFmtId="0" fontId="0" fillId="0" borderId="35" xfId="0" applyBorder="1" applyAlignment="1">
      <alignment horizontal="center"/>
    </xf>
    <xf numFmtId="0" fontId="0" fillId="0" borderId="33" xfId="0" applyBorder="1" applyAlignment="1">
      <alignment horizontal="center" wrapText="1"/>
    </xf>
    <xf numFmtId="0" fontId="0" fillId="0" borderId="28" xfId="0" applyBorder="1" applyAlignment="1">
      <alignment horizontal="center" wrapText="1"/>
    </xf>
    <xf numFmtId="0" fontId="0" fillId="0" borderId="57" xfId="0" applyBorder="1" applyAlignment="1">
      <alignment horizontal="center" wrapText="1"/>
    </xf>
    <xf numFmtId="0" fontId="0" fillId="0" borderId="10" xfId="0" applyBorder="1" applyAlignment="1">
      <alignment horizontal="center" vertical="center"/>
    </xf>
    <xf numFmtId="0" fontId="0" fillId="0" borderId="30" xfId="0" applyBorder="1" applyAlignment="1">
      <alignment horizontal="center" vertical="center"/>
    </xf>
    <xf numFmtId="0" fontId="0" fillId="0" borderId="10" xfId="0" applyBorder="1" applyAlignment="1">
      <alignment horizontal="center"/>
    </xf>
    <xf numFmtId="0" fontId="0" fillId="0" borderId="30" xfId="0" applyBorder="1" applyAlignment="1">
      <alignment horizontal="center"/>
    </xf>
    <xf numFmtId="4" fontId="0" fillId="0" borderId="0" xfId="0" applyNumberFormat="1" applyFont="1" applyBorder="1" applyAlignment="1">
      <alignment/>
    </xf>
    <xf numFmtId="4" fontId="1" fillId="35" borderId="10" xfId="0" applyNumberFormat="1" applyFont="1" applyFill="1" applyBorder="1" applyAlignment="1">
      <alignment horizontal="right" vertical="center"/>
    </xf>
    <xf numFmtId="4" fontId="1" fillId="48" borderId="10" xfId="0" applyNumberFormat="1" applyFont="1" applyFill="1" applyBorder="1" applyAlignment="1">
      <alignment horizontal="right" vertical="center"/>
    </xf>
    <xf numFmtId="0" fontId="0" fillId="38" borderId="10" xfId="0" applyFont="1" applyFill="1" applyBorder="1" applyAlignment="1">
      <alignment horizontal="center" vertical="center"/>
    </xf>
    <xf numFmtId="4" fontId="1" fillId="38" borderId="10" xfId="0" applyNumberFormat="1" applyFont="1" applyFill="1"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9">
    <dxf>
      <font>
        <b/>
        <i val="0"/>
        <color theme="0"/>
      </font>
      <fill>
        <patternFill>
          <bgColor rgb="FFFF0000"/>
        </patternFill>
      </fill>
    </dxf>
    <dxf>
      <font>
        <b/>
        <i val="0"/>
        <color theme="0"/>
      </font>
      <fill>
        <patternFill>
          <bgColor rgb="FFFF0000"/>
        </patternFill>
      </fill>
    </dxf>
    <dxf>
      <font>
        <b/>
        <i val="0"/>
        <color indexed="9"/>
      </font>
      <fill>
        <patternFill>
          <bgColor indexed="10"/>
        </patternFill>
      </fill>
    </dxf>
    <dxf>
      <font>
        <b/>
        <i val="0"/>
        <name val="Cambria"/>
        <color theme="0"/>
      </font>
      <fill>
        <patternFill>
          <bgColor rgb="FFFF0000"/>
        </patternFill>
      </fill>
    </dxf>
    <dxf>
      <font>
        <b/>
        <i val="0"/>
        <color theme="0"/>
      </font>
      <fill>
        <patternFill>
          <bgColor rgb="FFFF0000"/>
        </patternFill>
      </fill>
    </dxf>
    <dxf>
      <font>
        <color rgb="FF9C0006"/>
      </font>
      <fill>
        <patternFill>
          <bgColor rgb="FFFFC7CE"/>
        </patternFill>
      </fill>
    </dxf>
    <dxf>
      <font>
        <b/>
        <i val="0"/>
        <color theme="0"/>
      </font>
      <fill>
        <patternFill>
          <bgColor rgb="FFFF0000"/>
        </patternFill>
      </fill>
    </dxf>
    <dxf>
      <font>
        <color rgb="FF9C0006"/>
      </font>
      <fill>
        <patternFill>
          <bgColor rgb="FFFFC7CE"/>
        </patternFill>
      </fill>
    </dxf>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8">
    <tabColor rgb="FFFF0000"/>
  </sheetPr>
  <dimension ref="A1:G63"/>
  <sheetViews>
    <sheetView zoomScale="145" zoomScaleNormal="145" zoomScalePageLayoutView="0" workbookViewId="0" topLeftCell="C19">
      <selection activeCell="F21" sqref="F21"/>
    </sheetView>
  </sheetViews>
  <sheetFormatPr defaultColWidth="9.140625" defaultRowHeight="12.75"/>
  <cols>
    <col min="1" max="1" width="9.140625" style="16" customWidth="1"/>
    <col min="2" max="2" width="26.28125" style="46" customWidth="1"/>
    <col min="3" max="3" width="9.140625" style="25" customWidth="1"/>
    <col min="4" max="5" width="11.00390625" style="32" customWidth="1"/>
    <col min="6" max="6" width="62.8515625" style="31" bestFit="1" customWidth="1"/>
    <col min="7" max="7" width="13.28125" style="32" customWidth="1"/>
  </cols>
  <sheetData>
    <row r="1" spans="1:7" ht="65.25" customHeight="1">
      <c r="A1" s="327" t="s">
        <v>496</v>
      </c>
      <c r="B1" s="328"/>
      <c r="C1" s="328"/>
      <c r="D1" s="328"/>
      <c r="E1" s="328"/>
      <c r="F1" s="328"/>
      <c r="G1" s="328"/>
    </row>
    <row r="2" spans="1:7" ht="85.5" customHeight="1">
      <c r="A2" s="26" t="s">
        <v>131</v>
      </c>
      <c r="B2" s="27" t="s">
        <v>130</v>
      </c>
      <c r="C2" s="51" t="s">
        <v>497</v>
      </c>
      <c r="D2" s="36" t="s">
        <v>438</v>
      </c>
      <c r="E2" s="36" t="s">
        <v>538</v>
      </c>
      <c r="F2" s="27" t="s">
        <v>129</v>
      </c>
      <c r="G2" s="27" t="s">
        <v>439</v>
      </c>
    </row>
    <row r="3" spans="1:7" ht="38.25">
      <c r="A3" s="323" t="s">
        <v>132</v>
      </c>
      <c r="B3" s="321" t="s">
        <v>104</v>
      </c>
      <c r="C3" s="28" t="s">
        <v>66</v>
      </c>
      <c r="D3" s="36" t="s">
        <v>67</v>
      </c>
      <c r="E3" s="36" t="s">
        <v>20</v>
      </c>
      <c r="F3" s="21" t="s">
        <v>64</v>
      </c>
      <c r="G3" s="33">
        <v>0.65</v>
      </c>
    </row>
    <row r="4" spans="1:7" ht="38.25">
      <c r="A4" s="323"/>
      <c r="B4" s="321"/>
      <c r="C4" s="28" t="s">
        <v>68</v>
      </c>
      <c r="D4" s="36" t="s">
        <v>21</v>
      </c>
      <c r="E4" s="36" t="s">
        <v>20</v>
      </c>
      <c r="F4" s="21" t="s">
        <v>65</v>
      </c>
      <c r="G4" s="33">
        <v>0.95</v>
      </c>
    </row>
    <row r="5" spans="1:7" ht="25.5">
      <c r="A5" s="323"/>
      <c r="B5" s="321" t="s">
        <v>103</v>
      </c>
      <c r="C5" s="28" t="s">
        <v>69</v>
      </c>
      <c r="D5" s="36" t="s">
        <v>21</v>
      </c>
      <c r="E5" s="36" t="s">
        <v>20</v>
      </c>
      <c r="F5" s="21" t="s">
        <v>105</v>
      </c>
      <c r="G5" s="33">
        <v>0.95</v>
      </c>
    </row>
    <row r="6" spans="1:7" ht="15.75">
      <c r="A6" s="323"/>
      <c r="B6" s="321"/>
      <c r="C6" s="28" t="s">
        <v>70</v>
      </c>
      <c r="D6" s="36" t="s">
        <v>22</v>
      </c>
      <c r="E6" s="36" t="s">
        <v>20</v>
      </c>
      <c r="F6" s="21" t="s">
        <v>106</v>
      </c>
      <c r="G6" s="33">
        <v>1.2</v>
      </c>
    </row>
    <row r="7" spans="1:7" ht="25.5">
      <c r="A7" s="323"/>
      <c r="B7" s="321" t="s">
        <v>102</v>
      </c>
      <c r="C7" s="28" t="s">
        <v>71</v>
      </c>
      <c r="D7" s="36" t="s">
        <v>67</v>
      </c>
      <c r="E7" s="36" t="s">
        <v>20</v>
      </c>
      <c r="F7" s="21" t="s">
        <v>107</v>
      </c>
      <c r="G7" s="33">
        <v>0.65</v>
      </c>
    </row>
    <row r="8" spans="1:7" ht="25.5">
      <c r="A8" s="323"/>
      <c r="B8" s="321"/>
      <c r="C8" s="28" t="s">
        <v>72</v>
      </c>
      <c r="D8" s="36" t="s">
        <v>21</v>
      </c>
      <c r="E8" s="36" t="s">
        <v>20</v>
      </c>
      <c r="F8" s="21" t="s">
        <v>108</v>
      </c>
      <c r="G8" s="33">
        <v>0.95</v>
      </c>
    </row>
    <row r="9" spans="1:7" ht="25.5">
      <c r="A9" s="323"/>
      <c r="B9" s="321"/>
      <c r="C9" s="28" t="s">
        <v>73</v>
      </c>
      <c r="D9" s="36" t="s">
        <v>22</v>
      </c>
      <c r="E9" s="36" t="s">
        <v>20</v>
      </c>
      <c r="F9" s="21" t="s">
        <v>109</v>
      </c>
      <c r="G9" s="33">
        <v>1.2</v>
      </c>
    </row>
    <row r="10" spans="1:7" ht="51">
      <c r="A10" s="323"/>
      <c r="B10" s="321" t="s">
        <v>101</v>
      </c>
      <c r="C10" s="28" t="s">
        <v>74</v>
      </c>
      <c r="D10" s="36" t="s">
        <v>21</v>
      </c>
      <c r="E10" s="36" t="s">
        <v>20</v>
      </c>
      <c r="F10" s="21" t="s">
        <v>518</v>
      </c>
      <c r="G10" s="33">
        <v>0.95</v>
      </c>
    </row>
    <row r="11" spans="1:7" ht="25.5">
      <c r="A11" s="323"/>
      <c r="B11" s="321"/>
      <c r="C11" s="28" t="s">
        <v>75</v>
      </c>
      <c r="D11" s="36" t="s">
        <v>22</v>
      </c>
      <c r="E11" s="36" t="s">
        <v>20</v>
      </c>
      <c r="F11" s="21" t="s">
        <v>110</v>
      </c>
      <c r="G11" s="33">
        <v>1.15</v>
      </c>
    </row>
    <row r="12" spans="1:7" ht="25.5">
      <c r="A12" s="323"/>
      <c r="B12" s="321"/>
      <c r="C12" s="28" t="s">
        <v>76</v>
      </c>
      <c r="D12" s="36" t="s">
        <v>22</v>
      </c>
      <c r="E12" s="36" t="s">
        <v>20</v>
      </c>
      <c r="F12" s="21" t="s">
        <v>111</v>
      </c>
      <c r="G12" s="33">
        <v>1.2</v>
      </c>
    </row>
    <row r="13" spans="1:7" ht="63.75">
      <c r="A13" s="323"/>
      <c r="B13" s="321" t="s">
        <v>100</v>
      </c>
      <c r="C13" s="28" t="s">
        <v>77</v>
      </c>
      <c r="D13" s="36" t="s">
        <v>21</v>
      </c>
      <c r="E13" s="36" t="s">
        <v>20</v>
      </c>
      <c r="F13" s="21" t="s">
        <v>112</v>
      </c>
      <c r="G13" s="33">
        <v>0.95</v>
      </c>
    </row>
    <row r="14" spans="1:7" ht="25.5">
      <c r="A14" s="323"/>
      <c r="B14" s="321"/>
      <c r="C14" s="28" t="s">
        <v>78</v>
      </c>
      <c r="D14" s="36" t="s">
        <v>22</v>
      </c>
      <c r="E14" s="36" t="s">
        <v>20</v>
      </c>
      <c r="F14" s="21" t="s">
        <v>113</v>
      </c>
      <c r="G14" s="33">
        <v>1.15</v>
      </c>
    </row>
    <row r="15" spans="1:7" ht="63.75">
      <c r="A15" s="323"/>
      <c r="B15" s="321"/>
      <c r="C15" s="28" t="s">
        <v>79</v>
      </c>
      <c r="D15" s="36" t="s">
        <v>22</v>
      </c>
      <c r="E15" s="36" t="s">
        <v>20</v>
      </c>
      <c r="F15" s="21" t="s">
        <v>114</v>
      </c>
      <c r="G15" s="33">
        <v>1.2</v>
      </c>
    </row>
    <row r="16" spans="1:7" ht="20.25" customHeight="1">
      <c r="A16" s="323"/>
      <c r="B16" s="321" t="s">
        <v>99</v>
      </c>
      <c r="C16" s="28" t="s">
        <v>80</v>
      </c>
      <c r="D16" s="36" t="s">
        <v>67</v>
      </c>
      <c r="E16" s="36" t="s">
        <v>20</v>
      </c>
      <c r="F16" s="21" t="s">
        <v>115</v>
      </c>
      <c r="G16" s="33">
        <v>0.65</v>
      </c>
    </row>
    <row r="17" spans="1:7" ht="18.75" customHeight="1">
      <c r="A17" s="323"/>
      <c r="B17" s="321"/>
      <c r="C17" s="28" t="s">
        <v>81</v>
      </c>
      <c r="D17" s="36" t="s">
        <v>21</v>
      </c>
      <c r="E17" s="36" t="s">
        <v>20</v>
      </c>
      <c r="F17" s="21" t="s">
        <v>116</v>
      </c>
      <c r="G17" s="33">
        <v>0.95</v>
      </c>
    </row>
    <row r="18" spans="1:7" ht="65.25" customHeight="1">
      <c r="A18" s="323"/>
      <c r="B18" s="321"/>
      <c r="C18" s="28" t="s">
        <v>82</v>
      </c>
      <c r="D18" s="36" t="s">
        <v>22</v>
      </c>
      <c r="E18" s="36" t="s">
        <v>20</v>
      </c>
      <c r="F18" s="21" t="s">
        <v>494</v>
      </c>
      <c r="G18" s="33">
        <v>1.2</v>
      </c>
    </row>
    <row r="19" spans="1:7" ht="25.5">
      <c r="A19" s="323"/>
      <c r="B19" s="321" t="s">
        <v>98</v>
      </c>
      <c r="C19" s="28" t="s">
        <v>83</v>
      </c>
      <c r="D19" s="36" t="s">
        <v>67</v>
      </c>
      <c r="E19" s="36" t="s">
        <v>20</v>
      </c>
      <c r="F19" s="21" t="s">
        <v>117</v>
      </c>
      <c r="G19" s="33">
        <v>0.65</v>
      </c>
    </row>
    <row r="20" spans="1:7" ht="25.5">
      <c r="A20" s="323"/>
      <c r="B20" s="321"/>
      <c r="C20" s="28" t="s">
        <v>84</v>
      </c>
      <c r="D20" s="36" t="s">
        <v>21</v>
      </c>
      <c r="E20" s="36" t="s">
        <v>20</v>
      </c>
      <c r="F20" s="21" t="s">
        <v>118</v>
      </c>
      <c r="G20" s="33">
        <v>0.95</v>
      </c>
    </row>
    <row r="21" spans="1:7" ht="38.25">
      <c r="A21" s="323"/>
      <c r="B21" s="321"/>
      <c r="C21" s="28" t="s">
        <v>85</v>
      </c>
      <c r="D21" s="36" t="s">
        <v>22</v>
      </c>
      <c r="E21" s="36" t="s">
        <v>20</v>
      </c>
      <c r="F21" s="21" t="s">
        <v>119</v>
      </c>
      <c r="G21" s="33">
        <v>1.2</v>
      </c>
    </row>
    <row r="22" spans="1:7" ht="29.25" customHeight="1">
      <c r="A22" s="323"/>
      <c r="B22" s="321" t="s">
        <v>97</v>
      </c>
      <c r="C22" s="28" t="s">
        <v>86</v>
      </c>
      <c r="D22" s="36" t="s">
        <v>21</v>
      </c>
      <c r="E22" s="36" t="s">
        <v>20</v>
      </c>
      <c r="F22" s="21" t="s">
        <v>120</v>
      </c>
      <c r="G22" s="33">
        <v>0.95</v>
      </c>
    </row>
    <row r="23" spans="1:7" ht="29.25" customHeight="1">
      <c r="A23" s="323"/>
      <c r="B23" s="321"/>
      <c r="C23" s="28" t="s">
        <v>87</v>
      </c>
      <c r="D23" s="36" t="s">
        <v>22</v>
      </c>
      <c r="E23" s="36" t="s">
        <v>20</v>
      </c>
      <c r="F23" s="21" t="s">
        <v>121</v>
      </c>
      <c r="G23" s="33">
        <v>1.2</v>
      </c>
    </row>
    <row r="24" spans="1:7" ht="26.25" thickBot="1">
      <c r="A24" s="324"/>
      <c r="B24" s="322"/>
      <c r="C24" s="17" t="s">
        <v>88</v>
      </c>
      <c r="D24" s="37" t="s">
        <v>23</v>
      </c>
      <c r="E24" s="37" t="s">
        <v>20</v>
      </c>
      <c r="F24" s="22" t="s">
        <v>122</v>
      </c>
      <c r="G24" s="34">
        <v>1.55</v>
      </c>
    </row>
    <row r="25" spans="1:7" ht="39" thickTop="1">
      <c r="A25" s="325" t="s">
        <v>133</v>
      </c>
      <c r="B25" s="326" t="s">
        <v>402</v>
      </c>
      <c r="C25" s="29" t="s">
        <v>89</v>
      </c>
      <c r="D25" s="38" t="s">
        <v>24</v>
      </c>
      <c r="E25" s="38" t="s">
        <v>20</v>
      </c>
      <c r="F25" s="30" t="s">
        <v>123</v>
      </c>
      <c r="G25" s="35">
        <v>0.7</v>
      </c>
    </row>
    <row r="26" spans="1:7" ht="38.25">
      <c r="A26" s="323"/>
      <c r="B26" s="321"/>
      <c r="C26" s="28" t="s">
        <v>90</v>
      </c>
      <c r="D26" s="36" t="s">
        <v>16</v>
      </c>
      <c r="E26" s="36" t="s">
        <v>536</v>
      </c>
      <c r="F26" s="21" t="s">
        <v>124</v>
      </c>
      <c r="G26" s="33">
        <v>0.5</v>
      </c>
    </row>
    <row r="27" spans="1:7" ht="38.25">
      <c r="A27" s="323"/>
      <c r="B27" s="321" t="s">
        <v>401</v>
      </c>
      <c r="C27" s="28" t="s">
        <v>91</v>
      </c>
      <c r="D27" s="36" t="s">
        <v>25</v>
      </c>
      <c r="E27" s="36" t="s">
        <v>20</v>
      </c>
      <c r="F27" s="21" t="s">
        <v>125</v>
      </c>
      <c r="G27" s="33">
        <v>0.95</v>
      </c>
    </row>
    <row r="28" spans="1:7" ht="51">
      <c r="A28" s="323"/>
      <c r="B28" s="321"/>
      <c r="C28" s="28" t="s">
        <v>92</v>
      </c>
      <c r="D28" s="36" t="s">
        <v>17</v>
      </c>
      <c r="E28" s="36" t="s">
        <v>536</v>
      </c>
      <c r="F28" s="21" t="s">
        <v>126</v>
      </c>
      <c r="G28" s="33">
        <v>0.9</v>
      </c>
    </row>
    <row r="29" spans="1:7" ht="25.5">
      <c r="A29" s="323"/>
      <c r="B29" s="321" t="s">
        <v>403</v>
      </c>
      <c r="C29" s="28" t="s">
        <v>93</v>
      </c>
      <c r="D29" s="36" t="s">
        <v>95</v>
      </c>
      <c r="E29" s="36" t="s">
        <v>536</v>
      </c>
      <c r="F29" s="21" t="s">
        <v>127</v>
      </c>
      <c r="G29" s="33">
        <v>1.05</v>
      </c>
    </row>
    <row r="30" spans="1:7" ht="51.75" thickBot="1">
      <c r="A30" s="324"/>
      <c r="B30" s="322"/>
      <c r="C30" s="17" t="s">
        <v>94</v>
      </c>
      <c r="D30" s="37" t="s">
        <v>96</v>
      </c>
      <c r="E30" s="37" t="s">
        <v>536</v>
      </c>
      <c r="F30" s="22" t="s">
        <v>128</v>
      </c>
      <c r="G30" s="34">
        <v>1.15</v>
      </c>
    </row>
    <row r="31" spans="1:7" ht="81" customHeight="1" thickTop="1">
      <c r="A31" s="318" t="s">
        <v>136</v>
      </c>
      <c r="B31" s="326" t="s">
        <v>400</v>
      </c>
      <c r="C31" s="29" t="s">
        <v>138</v>
      </c>
      <c r="D31" s="38" t="s">
        <v>5</v>
      </c>
      <c r="E31" s="38" t="s">
        <v>20</v>
      </c>
      <c r="F31" s="30" t="s">
        <v>537</v>
      </c>
      <c r="G31" s="35">
        <v>0.75</v>
      </c>
    </row>
    <row r="32" spans="1:7" ht="38.25">
      <c r="A32" s="319"/>
      <c r="B32" s="321"/>
      <c r="C32" s="28" t="s">
        <v>139</v>
      </c>
      <c r="D32" s="36" t="s">
        <v>6</v>
      </c>
      <c r="E32" s="36" t="s">
        <v>20</v>
      </c>
      <c r="F32" s="21" t="s">
        <v>444</v>
      </c>
      <c r="G32" s="33">
        <v>0.85</v>
      </c>
    </row>
    <row r="33" spans="1:7" ht="51" customHeight="1">
      <c r="A33" s="319"/>
      <c r="B33" s="321" t="s">
        <v>394</v>
      </c>
      <c r="C33" s="28" t="s">
        <v>140</v>
      </c>
      <c r="D33" s="36" t="s">
        <v>7</v>
      </c>
      <c r="E33" s="36" t="s">
        <v>20</v>
      </c>
      <c r="F33" s="21" t="s">
        <v>443</v>
      </c>
      <c r="G33" s="33">
        <v>1.15</v>
      </c>
    </row>
    <row r="34" spans="1:7" ht="55.5" customHeight="1">
      <c r="A34" s="319"/>
      <c r="B34" s="321"/>
      <c r="C34" s="28" t="s">
        <v>141</v>
      </c>
      <c r="D34" s="36" t="s">
        <v>7</v>
      </c>
      <c r="E34" s="36" t="s">
        <v>20</v>
      </c>
      <c r="F34" s="21" t="s">
        <v>442</v>
      </c>
      <c r="G34" s="33">
        <v>1.3</v>
      </c>
    </row>
    <row r="35" spans="1:7" ht="30" customHeight="1">
      <c r="A35" s="319"/>
      <c r="B35" s="321" t="s">
        <v>395</v>
      </c>
      <c r="C35" s="28" t="s">
        <v>142</v>
      </c>
      <c r="D35" s="36" t="s">
        <v>2</v>
      </c>
      <c r="E35" s="36" t="s">
        <v>536</v>
      </c>
      <c r="F35" s="21" t="s">
        <v>143</v>
      </c>
      <c r="G35" s="33">
        <v>0.55</v>
      </c>
    </row>
    <row r="36" spans="1:7" ht="56.25" customHeight="1">
      <c r="A36" s="319"/>
      <c r="B36" s="321"/>
      <c r="C36" s="28" t="s">
        <v>426</v>
      </c>
      <c r="D36" s="36" t="s">
        <v>144</v>
      </c>
      <c r="E36" s="36" t="s">
        <v>20</v>
      </c>
      <c r="F36" s="21" t="s">
        <v>396</v>
      </c>
      <c r="G36" s="33">
        <v>0.7</v>
      </c>
    </row>
    <row r="37" spans="1:7" ht="127.5">
      <c r="A37" s="319"/>
      <c r="B37" s="321" t="s">
        <v>495</v>
      </c>
      <c r="C37" s="28" t="s">
        <v>145</v>
      </c>
      <c r="D37" s="36" t="s">
        <v>3</v>
      </c>
      <c r="E37" s="36" t="s">
        <v>20</v>
      </c>
      <c r="F37" s="21" t="s">
        <v>397</v>
      </c>
      <c r="G37" s="33">
        <v>0.7</v>
      </c>
    </row>
    <row r="38" spans="1:7" ht="38.25">
      <c r="A38" s="319"/>
      <c r="B38" s="321"/>
      <c r="C38" s="28" t="s">
        <v>146</v>
      </c>
      <c r="D38" s="36" t="s">
        <v>4</v>
      </c>
      <c r="E38" s="36" t="s">
        <v>20</v>
      </c>
      <c r="F38" s="21" t="s">
        <v>464</v>
      </c>
      <c r="G38" s="33">
        <v>0.75</v>
      </c>
    </row>
    <row r="39" spans="1:7" ht="30.75" customHeight="1">
      <c r="A39" s="319"/>
      <c r="B39" s="321" t="s">
        <v>399</v>
      </c>
      <c r="C39" s="28" t="s">
        <v>147</v>
      </c>
      <c r="D39" s="36" t="s">
        <v>10</v>
      </c>
      <c r="E39" s="36" t="s">
        <v>20</v>
      </c>
      <c r="F39" s="21" t="s">
        <v>148</v>
      </c>
      <c r="G39" s="33">
        <v>0.5</v>
      </c>
    </row>
    <row r="40" spans="1:7" ht="28.5" customHeight="1">
      <c r="A40" s="319"/>
      <c r="B40" s="321"/>
      <c r="C40" s="28" t="s">
        <v>149</v>
      </c>
      <c r="D40" s="36" t="s">
        <v>9</v>
      </c>
      <c r="E40" s="36" t="s">
        <v>20</v>
      </c>
      <c r="F40" s="21" t="s">
        <v>151</v>
      </c>
      <c r="G40" s="33">
        <v>0.6</v>
      </c>
    </row>
    <row r="41" spans="1:7" ht="29.25" customHeight="1">
      <c r="A41" s="319"/>
      <c r="B41" s="321"/>
      <c r="C41" s="28" t="s">
        <v>150</v>
      </c>
      <c r="D41" s="36" t="s">
        <v>8</v>
      </c>
      <c r="E41" s="36" t="s">
        <v>20</v>
      </c>
      <c r="F41" s="21" t="s">
        <v>463</v>
      </c>
      <c r="G41" s="33">
        <v>0.75</v>
      </c>
    </row>
    <row r="42" spans="1:7" ht="15.75">
      <c r="A42" s="319"/>
      <c r="B42" s="321" t="s">
        <v>398</v>
      </c>
      <c r="C42" s="28" t="s">
        <v>152</v>
      </c>
      <c r="D42" s="36" t="s">
        <v>437</v>
      </c>
      <c r="E42" s="36" t="s">
        <v>20</v>
      </c>
      <c r="F42" s="21" t="s">
        <v>153</v>
      </c>
      <c r="G42" s="33">
        <v>0.9</v>
      </c>
    </row>
    <row r="43" spans="1:7" ht="26.25" thickBot="1">
      <c r="A43" s="320"/>
      <c r="B43" s="322"/>
      <c r="C43" s="17" t="s">
        <v>154</v>
      </c>
      <c r="D43" s="37" t="s">
        <v>437</v>
      </c>
      <c r="E43" s="37" t="s">
        <v>20</v>
      </c>
      <c r="F43" s="22" t="s">
        <v>155</v>
      </c>
      <c r="G43" s="34">
        <v>1</v>
      </c>
    </row>
    <row r="44" spans="1:7" ht="16.5" thickTop="1">
      <c r="A44" s="315" t="s">
        <v>391</v>
      </c>
      <c r="B44" s="42" t="s">
        <v>156</v>
      </c>
      <c r="C44" s="29" t="s">
        <v>157</v>
      </c>
      <c r="D44" s="38" t="s">
        <v>11</v>
      </c>
      <c r="E44" s="38" t="s">
        <v>2</v>
      </c>
      <c r="F44" s="30" t="s">
        <v>158</v>
      </c>
      <c r="G44" s="35">
        <v>0.4</v>
      </c>
    </row>
    <row r="45" spans="1:7" ht="25.5">
      <c r="A45" s="316"/>
      <c r="B45" s="40" t="s">
        <v>159</v>
      </c>
      <c r="C45" s="28" t="s">
        <v>160</v>
      </c>
      <c r="D45" s="36" t="s">
        <v>11</v>
      </c>
      <c r="E45" s="38" t="s">
        <v>2</v>
      </c>
      <c r="F45" s="21" t="s">
        <v>161</v>
      </c>
      <c r="G45" s="33">
        <v>0.45</v>
      </c>
    </row>
    <row r="46" spans="1:7" ht="62.25" customHeight="1" thickBot="1">
      <c r="A46" s="317"/>
      <c r="B46" s="43" t="s">
        <v>162</v>
      </c>
      <c r="C46" s="17" t="s">
        <v>163</v>
      </c>
      <c r="D46" s="37" t="s">
        <v>12</v>
      </c>
      <c r="E46" s="37" t="s">
        <v>3</v>
      </c>
      <c r="F46" s="22" t="s">
        <v>441</v>
      </c>
      <c r="G46" s="34">
        <v>1.2</v>
      </c>
    </row>
    <row r="47" spans="1:7" ht="20.25" customHeight="1" thickTop="1">
      <c r="A47" s="318" t="s">
        <v>137</v>
      </c>
      <c r="B47" s="40" t="s">
        <v>164</v>
      </c>
      <c r="C47" s="29" t="s">
        <v>165</v>
      </c>
      <c r="D47" s="38" t="s">
        <v>15</v>
      </c>
      <c r="E47" s="38" t="s">
        <v>536</v>
      </c>
      <c r="F47" s="30" t="s">
        <v>166</v>
      </c>
      <c r="G47" s="35">
        <v>0.65</v>
      </c>
    </row>
    <row r="48" spans="1:7" ht="25.5">
      <c r="A48" s="319"/>
      <c r="B48" s="321" t="s">
        <v>167</v>
      </c>
      <c r="C48" s="28" t="s">
        <v>168</v>
      </c>
      <c r="D48" s="36" t="s">
        <v>13</v>
      </c>
      <c r="E48" s="38" t="s">
        <v>536</v>
      </c>
      <c r="F48" s="21" t="s">
        <v>169</v>
      </c>
      <c r="G48" s="33">
        <v>0.45</v>
      </c>
    </row>
    <row r="49" spans="1:7" ht="38.25">
      <c r="A49" s="319"/>
      <c r="B49" s="321"/>
      <c r="C49" s="28" t="s">
        <v>170</v>
      </c>
      <c r="D49" s="36" t="s">
        <v>14</v>
      </c>
      <c r="E49" s="38" t="s">
        <v>536</v>
      </c>
      <c r="F49" s="21" t="s">
        <v>440</v>
      </c>
      <c r="G49" s="33">
        <v>0.55</v>
      </c>
    </row>
    <row r="50" spans="1:7" ht="58.5" customHeight="1">
      <c r="A50" s="319"/>
      <c r="B50" s="326" t="s">
        <v>171</v>
      </c>
      <c r="C50" s="29" t="s">
        <v>172</v>
      </c>
      <c r="D50" s="38" t="s">
        <v>1</v>
      </c>
      <c r="E50" s="38" t="s">
        <v>536</v>
      </c>
      <c r="F50" s="30" t="s">
        <v>429</v>
      </c>
      <c r="G50" s="35">
        <v>0.65</v>
      </c>
    </row>
    <row r="51" spans="1:7" ht="39" thickBot="1">
      <c r="A51" s="320"/>
      <c r="B51" s="322"/>
      <c r="C51" s="17" t="s">
        <v>173</v>
      </c>
      <c r="D51" s="37" t="s">
        <v>437</v>
      </c>
      <c r="E51" s="37" t="s">
        <v>536</v>
      </c>
      <c r="F51" s="22" t="s">
        <v>430</v>
      </c>
      <c r="G51" s="34">
        <v>0.8</v>
      </c>
    </row>
    <row r="52" spans="1:7" ht="57" customHeight="1" thickTop="1">
      <c r="A52" s="315" t="s">
        <v>393</v>
      </c>
      <c r="B52" s="44" t="s">
        <v>174</v>
      </c>
      <c r="C52" s="29" t="s">
        <v>175</v>
      </c>
      <c r="D52" s="38" t="s">
        <v>437</v>
      </c>
      <c r="E52" s="38" t="s">
        <v>437</v>
      </c>
      <c r="F52" s="30" t="s">
        <v>431</v>
      </c>
      <c r="G52" s="35">
        <v>0.95</v>
      </c>
    </row>
    <row r="53" spans="1:7" ht="56.25" customHeight="1">
      <c r="A53" s="316"/>
      <c r="B53" s="45" t="s">
        <v>176</v>
      </c>
      <c r="C53" s="28" t="s">
        <v>177</v>
      </c>
      <c r="D53" s="38" t="s">
        <v>437</v>
      </c>
      <c r="E53" s="38" t="s">
        <v>437</v>
      </c>
      <c r="F53" s="21" t="s">
        <v>432</v>
      </c>
      <c r="G53" s="33">
        <v>0.7</v>
      </c>
    </row>
    <row r="54" spans="1:7" ht="54.75" customHeight="1" thickBot="1">
      <c r="A54" s="317"/>
      <c r="B54" s="41" t="s">
        <v>178</v>
      </c>
      <c r="C54" s="17" t="s">
        <v>179</v>
      </c>
      <c r="D54" s="37" t="s">
        <v>437</v>
      </c>
      <c r="E54" s="37" t="s">
        <v>437</v>
      </c>
      <c r="F54" s="22" t="s">
        <v>180</v>
      </c>
      <c r="G54" s="34">
        <v>1.2</v>
      </c>
    </row>
    <row r="55" spans="1:7" ht="116.25" customHeight="1" thickTop="1">
      <c r="A55" s="315" t="s">
        <v>392</v>
      </c>
      <c r="B55" s="44" t="s">
        <v>181</v>
      </c>
      <c r="C55" s="29" t="s">
        <v>182</v>
      </c>
      <c r="D55" s="38" t="s">
        <v>437</v>
      </c>
      <c r="E55" s="258" t="s">
        <v>437</v>
      </c>
      <c r="F55" s="30" t="s">
        <v>433</v>
      </c>
      <c r="G55" s="35">
        <v>0.85</v>
      </c>
    </row>
    <row r="56" spans="1:7" ht="42.75">
      <c r="A56" s="319"/>
      <c r="B56" s="45" t="s">
        <v>183</v>
      </c>
      <c r="C56" s="28" t="s">
        <v>184</v>
      </c>
      <c r="D56" s="38" t="s">
        <v>437</v>
      </c>
      <c r="E56" s="36" t="s">
        <v>437</v>
      </c>
      <c r="F56" s="21" t="s">
        <v>434</v>
      </c>
      <c r="G56" s="33">
        <v>0.85</v>
      </c>
    </row>
    <row r="57" spans="1:7" ht="38.25">
      <c r="A57" s="319"/>
      <c r="B57" s="39" t="s">
        <v>185</v>
      </c>
      <c r="C57" s="28" t="s">
        <v>186</v>
      </c>
      <c r="D57" s="38" t="s">
        <v>437</v>
      </c>
      <c r="E57" s="36" t="s">
        <v>437</v>
      </c>
      <c r="F57" s="21" t="s">
        <v>435</v>
      </c>
      <c r="G57" s="33">
        <v>0.85</v>
      </c>
    </row>
    <row r="58" spans="1:7" ht="48.75" customHeight="1">
      <c r="A58" s="319"/>
      <c r="B58" s="45" t="s">
        <v>187</v>
      </c>
      <c r="C58" s="28" t="s">
        <v>188</v>
      </c>
      <c r="D58" s="38" t="s">
        <v>437</v>
      </c>
      <c r="E58" s="36" t="s">
        <v>437</v>
      </c>
      <c r="F58" s="21" t="s">
        <v>189</v>
      </c>
      <c r="G58" s="33">
        <v>0.85</v>
      </c>
    </row>
    <row r="59" spans="1:7" ht="63.75">
      <c r="A59" s="319"/>
      <c r="B59" s="45" t="s">
        <v>190</v>
      </c>
      <c r="C59" s="28" t="s">
        <v>191</v>
      </c>
      <c r="D59" s="38" t="s">
        <v>437</v>
      </c>
      <c r="E59" s="36" t="s">
        <v>437</v>
      </c>
      <c r="F59" s="21" t="s">
        <v>192</v>
      </c>
      <c r="G59" s="33">
        <v>0.85</v>
      </c>
    </row>
    <row r="60" spans="1:7" ht="57.75" thickBot="1">
      <c r="A60" s="320"/>
      <c r="B60" s="41" t="s">
        <v>193</v>
      </c>
      <c r="C60" s="17" t="s">
        <v>194</v>
      </c>
      <c r="D60" s="37" t="s">
        <v>437</v>
      </c>
      <c r="E60" s="38" t="s">
        <v>437</v>
      </c>
      <c r="F60" s="22" t="s">
        <v>195</v>
      </c>
      <c r="G60" s="34">
        <v>0.85</v>
      </c>
    </row>
    <row r="61" spans="1:7" ht="135.75" customHeight="1" thickTop="1">
      <c r="A61" s="318" t="s">
        <v>196</v>
      </c>
      <c r="B61" s="47" t="s">
        <v>197</v>
      </c>
      <c r="C61" s="48" t="s">
        <v>198</v>
      </c>
      <c r="D61" s="38" t="s">
        <v>437</v>
      </c>
      <c r="E61" s="258" t="s">
        <v>437</v>
      </c>
      <c r="F61" s="49" t="s">
        <v>436</v>
      </c>
      <c r="G61" s="50">
        <v>0.9</v>
      </c>
    </row>
    <row r="62" spans="1:7" ht="75.75" customHeight="1">
      <c r="A62" s="319"/>
      <c r="B62" s="45" t="s">
        <v>199</v>
      </c>
      <c r="C62" s="28" t="s">
        <v>200</v>
      </c>
      <c r="D62" s="38" t="s">
        <v>437</v>
      </c>
      <c r="E62" s="38" t="s">
        <v>437</v>
      </c>
      <c r="F62" s="21" t="s">
        <v>201</v>
      </c>
      <c r="G62" s="33">
        <v>0.95</v>
      </c>
    </row>
    <row r="63" spans="1:7" ht="74.25" customHeight="1" thickBot="1">
      <c r="A63" s="320"/>
      <c r="B63" s="41" t="s">
        <v>202</v>
      </c>
      <c r="C63" s="17" t="s">
        <v>203</v>
      </c>
      <c r="D63" s="37" t="s">
        <v>437</v>
      </c>
      <c r="E63" s="257" t="s">
        <v>437</v>
      </c>
      <c r="F63" s="22" t="s">
        <v>204</v>
      </c>
      <c r="G63" s="34">
        <v>1</v>
      </c>
    </row>
    <row r="64" ht="15" thickTop="1"/>
  </sheetData>
  <sheetProtection/>
  <mergeCells count="28">
    <mergeCell ref="A1:G1"/>
    <mergeCell ref="A61:A63"/>
    <mergeCell ref="A31:A43"/>
    <mergeCell ref="B31:B32"/>
    <mergeCell ref="B48:B49"/>
    <mergeCell ref="A52:A54"/>
    <mergeCell ref="B50:B51"/>
    <mergeCell ref="A55:A60"/>
    <mergeCell ref="B3:B4"/>
    <mergeCell ref="B33:B34"/>
    <mergeCell ref="B10:B12"/>
    <mergeCell ref="B7:B9"/>
    <mergeCell ref="B5:B6"/>
    <mergeCell ref="B25:B26"/>
    <mergeCell ref="B29:B30"/>
    <mergeCell ref="B27:B28"/>
    <mergeCell ref="B16:B18"/>
    <mergeCell ref="B13:B15"/>
    <mergeCell ref="A44:A46"/>
    <mergeCell ref="A47:A51"/>
    <mergeCell ref="B42:B43"/>
    <mergeCell ref="B22:B24"/>
    <mergeCell ref="B19:B21"/>
    <mergeCell ref="B39:B41"/>
    <mergeCell ref="A3:A24"/>
    <mergeCell ref="A25:A30"/>
    <mergeCell ref="B35:B36"/>
    <mergeCell ref="B37:B38"/>
  </mergeCells>
  <printOptions/>
  <pageMargins left="0.7480314960629921" right="0.35433070866141736" top="0.984251968503937" bottom="0.984251968503937" header="0.3937007874015748"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Foglio9"/>
  <dimension ref="B2:H29"/>
  <sheetViews>
    <sheetView zoomScalePageLayoutView="0" workbookViewId="0" topLeftCell="A1">
      <selection activeCell="C7" sqref="C7"/>
    </sheetView>
  </sheetViews>
  <sheetFormatPr defaultColWidth="9.140625" defaultRowHeight="12.75"/>
  <cols>
    <col min="1" max="1" width="3.00390625" style="0" customWidth="1"/>
    <col min="2" max="2" width="16.421875" style="0" customWidth="1"/>
    <col min="3" max="3" width="76.57421875" style="0" customWidth="1"/>
    <col min="4" max="4" width="10.7109375" style="0" customWidth="1"/>
    <col min="5" max="5" width="11.421875" style="0" customWidth="1"/>
    <col min="6" max="6" width="9.7109375" style="0" customWidth="1"/>
  </cols>
  <sheetData>
    <row r="1" ht="13.5" thickBot="1"/>
    <row r="2" spans="2:6" ht="19.5" customHeight="1">
      <c r="B2" s="8" t="s">
        <v>51</v>
      </c>
      <c r="C2" s="9" t="s">
        <v>58</v>
      </c>
      <c r="D2" s="644" t="s">
        <v>59</v>
      </c>
      <c r="E2" s="644"/>
      <c r="F2" s="645"/>
    </row>
    <row r="3" spans="2:6" ht="55.5" customHeight="1">
      <c r="B3" s="14" t="s">
        <v>19</v>
      </c>
      <c r="C3" s="10" t="s">
        <v>44</v>
      </c>
      <c r="D3" s="638" t="s">
        <v>26</v>
      </c>
      <c r="E3" s="638"/>
      <c r="F3" s="639"/>
    </row>
    <row r="4" spans="2:6" ht="38.25">
      <c r="B4" s="14" t="s">
        <v>20</v>
      </c>
      <c r="C4" s="10" t="s">
        <v>27</v>
      </c>
      <c r="D4" s="638"/>
      <c r="E4" s="638"/>
      <c r="F4" s="639"/>
    </row>
    <row r="5" spans="2:6" ht="40.5" customHeight="1">
      <c r="B5" s="14" t="s">
        <v>21</v>
      </c>
      <c r="C5" s="10" t="s">
        <v>28</v>
      </c>
      <c r="D5" s="638"/>
      <c r="E5" s="638"/>
      <c r="F5" s="639"/>
    </row>
    <row r="6" spans="2:6" ht="63.75">
      <c r="B6" s="14" t="s">
        <v>22</v>
      </c>
      <c r="C6" s="10" t="s">
        <v>29</v>
      </c>
      <c r="D6" s="638"/>
      <c r="E6" s="638"/>
      <c r="F6" s="639"/>
    </row>
    <row r="7" spans="2:6" ht="54.75" customHeight="1">
      <c r="B7" s="14" t="s">
        <v>23</v>
      </c>
      <c r="C7" s="10" t="s">
        <v>52</v>
      </c>
      <c r="D7" s="638"/>
      <c r="E7" s="638"/>
      <c r="F7" s="639"/>
    </row>
    <row r="8" spans="2:6" ht="15" customHeight="1">
      <c r="B8" s="14" t="s">
        <v>24</v>
      </c>
      <c r="C8" s="10" t="s">
        <v>30</v>
      </c>
      <c r="D8" s="638"/>
      <c r="E8" s="638"/>
      <c r="F8" s="639"/>
    </row>
    <row r="9" spans="2:6" ht="25.5">
      <c r="B9" s="14" t="s">
        <v>25</v>
      </c>
      <c r="C9" s="10" t="s">
        <v>31</v>
      </c>
      <c r="D9" s="638"/>
      <c r="E9" s="638"/>
      <c r="F9" s="639"/>
    </row>
    <row r="10" spans="2:6" ht="25.5">
      <c r="B10" s="14" t="s">
        <v>2</v>
      </c>
      <c r="C10" s="10" t="s">
        <v>32</v>
      </c>
      <c r="D10" s="642" t="s">
        <v>57</v>
      </c>
      <c r="E10" s="642"/>
      <c r="F10" s="643"/>
    </row>
    <row r="11" spans="2:6" ht="51">
      <c r="B11" s="14" t="s">
        <v>3</v>
      </c>
      <c r="C11" s="10" t="s">
        <v>33</v>
      </c>
      <c r="D11" s="642"/>
      <c r="E11" s="642"/>
      <c r="F11" s="643"/>
    </row>
    <row r="12" spans="2:6" ht="38.25">
      <c r="B12" s="14" t="s">
        <v>4</v>
      </c>
      <c r="C12" s="10" t="s">
        <v>34</v>
      </c>
      <c r="D12" s="642"/>
      <c r="E12" s="642"/>
      <c r="F12" s="643"/>
    </row>
    <row r="13" spans="2:8" ht="61.5" customHeight="1">
      <c r="B13" s="14" t="s">
        <v>5</v>
      </c>
      <c r="C13" s="10" t="s">
        <v>53</v>
      </c>
      <c r="D13" s="642" t="s">
        <v>45</v>
      </c>
      <c r="E13" s="642"/>
      <c r="F13" s="643"/>
      <c r="G13" s="12"/>
      <c r="H13" s="12"/>
    </row>
    <row r="14" spans="2:8" ht="35.25" customHeight="1">
      <c r="B14" s="14" t="s">
        <v>6</v>
      </c>
      <c r="C14" s="10" t="s">
        <v>35</v>
      </c>
      <c r="D14" s="642"/>
      <c r="E14" s="642"/>
      <c r="F14" s="643"/>
      <c r="G14" s="12"/>
      <c r="H14" s="12"/>
    </row>
    <row r="15" spans="2:8" ht="33" customHeight="1">
      <c r="B15" s="14" t="s">
        <v>7</v>
      </c>
      <c r="C15" s="10" t="s">
        <v>36</v>
      </c>
      <c r="D15" s="642"/>
      <c r="E15" s="642"/>
      <c r="F15" s="643"/>
      <c r="G15" s="12"/>
      <c r="H15" s="12"/>
    </row>
    <row r="16" spans="2:6" ht="25.5">
      <c r="B16" s="14" t="s">
        <v>8</v>
      </c>
      <c r="C16" s="10" t="s">
        <v>46</v>
      </c>
      <c r="D16" s="649" t="s">
        <v>37</v>
      </c>
      <c r="E16" s="649"/>
      <c r="F16" s="650"/>
    </row>
    <row r="17" spans="2:6" ht="25.5">
      <c r="B17" s="14" t="s">
        <v>9</v>
      </c>
      <c r="C17" s="10" t="s">
        <v>47</v>
      </c>
      <c r="D17" s="649"/>
      <c r="E17" s="649"/>
      <c r="F17" s="650"/>
    </row>
    <row r="18" spans="2:6" ht="25.5">
      <c r="B18" s="14" t="s">
        <v>10</v>
      </c>
      <c r="C18" s="10" t="s">
        <v>38</v>
      </c>
      <c r="D18" s="649"/>
      <c r="E18" s="649"/>
      <c r="F18" s="650"/>
    </row>
    <row r="19" spans="2:6" ht="15" customHeight="1">
      <c r="B19" s="14" t="s">
        <v>0</v>
      </c>
      <c r="C19" s="10" t="s">
        <v>54</v>
      </c>
      <c r="D19" s="651" t="s">
        <v>54</v>
      </c>
      <c r="E19" s="651"/>
      <c r="F19" s="652"/>
    </row>
    <row r="20" spans="2:6" ht="25.5">
      <c r="B20" s="14" t="s">
        <v>11</v>
      </c>
      <c r="C20" s="10" t="s">
        <v>39</v>
      </c>
      <c r="D20" s="649" t="s">
        <v>55</v>
      </c>
      <c r="E20" s="649"/>
      <c r="F20" s="650"/>
    </row>
    <row r="21" spans="2:6" ht="38.25">
      <c r="B21" s="14" t="s">
        <v>12</v>
      </c>
      <c r="C21" s="10" t="s">
        <v>61</v>
      </c>
      <c r="D21" s="649"/>
      <c r="E21" s="649"/>
      <c r="F21" s="650"/>
    </row>
    <row r="22" spans="2:6" ht="25.5" customHeight="1">
      <c r="B22" s="14" t="s">
        <v>13</v>
      </c>
      <c r="C22" s="10" t="s">
        <v>40</v>
      </c>
      <c r="D22" s="642" t="s">
        <v>56</v>
      </c>
      <c r="E22" s="642"/>
      <c r="F22" s="643"/>
    </row>
    <row r="23" spans="2:6" ht="25.5">
      <c r="B23" s="14" t="s">
        <v>14</v>
      </c>
      <c r="C23" s="10" t="s">
        <v>48</v>
      </c>
      <c r="D23" s="642"/>
      <c r="E23" s="642"/>
      <c r="F23" s="643"/>
    </row>
    <row r="24" spans="2:6" ht="15" customHeight="1">
      <c r="B24" s="14" t="s">
        <v>15</v>
      </c>
      <c r="C24" s="10" t="s">
        <v>41</v>
      </c>
      <c r="D24" s="642"/>
      <c r="E24" s="642"/>
      <c r="F24" s="643"/>
    </row>
    <row r="25" spans="2:6" ht="39.75" customHeight="1">
      <c r="B25" s="14" t="s">
        <v>1</v>
      </c>
      <c r="C25" s="10" t="s">
        <v>49</v>
      </c>
      <c r="D25" s="646" t="s">
        <v>49</v>
      </c>
      <c r="E25" s="647"/>
      <c r="F25" s="648"/>
    </row>
    <row r="26" spans="2:6" ht="36.75" customHeight="1">
      <c r="B26" s="14" t="s">
        <v>16</v>
      </c>
      <c r="C26" s="10" t="s">
        <v>60</v>
      </c>
      <c r="D26" s="638" t="s">
        <v>42</v>
      </c>
      <c r="E26" s="638"/>
      <c r="F26" s="639"/>
    </row>
    <row r="27" spans="2:6" ht="25.5">
      <c r="B27" s="14" t="s">
        <v>17</v>
      </c>
      <c r="C27" s="10" t="s">
        <v>43</v>
      </c>
      <c r="D27" s="638"/>
      <c r="E27" s="638"/>
      <c r="F27" s="639"/>
    </row>
    <row r="28" spans="2:6" ht="15" customHeight="1" thickBot="1">
      <c r="B28" s="15" t="s">
        <v>18</v>
      </c>
      <c r="C28" s="13" t="s">
        <v>50</v>
      </c>
      <c r="D28" s="640"/>
      <c r="E28" s="640"/>
      <c r="F28" s="641"/>
    </row>
    <row r="29" spans="2:3" ht="12.75">
      <c r="B29" s="11"/>
      <c r="C29" s="11"/>
    </row>
  </sheetData>
  <sheetProtection/>
  <mergeCells count="10">
    <mergeCell ref="D26:F28"/>
    <mergeCell ref="D10:F12"/>
    <mergeCell ref="D3:F9"/>
    <mergeCell ref="D2:F2"/>
    <mergeCell ref="D25:F25"/>
    <mergeCell ref="D13:F15"/>
    <mergeCell ref="D16:F18"/>
    <mergeCell ref="D20:F21"/>
    <mergeCell ref="D19:F19"/>
    <mergeCell ref="D22:F24"/>
  </mergeCells>
  <printOptions/>
  <pageMargins left="0.7874015748031497" right="0.7874015748031497" top="0.984251968503937" bottom="0.984251968503937" header="0.5118110236220472" footer="0.5118110236220472"/>
  <pageSetup fitToHeight="2" horizontalDpi="600" verticalDpi="600" orientation="landscape" pageOrder="overThenDown" paperSize="9"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row r="1" ht="15.75">
      <c r="A1" s="284" t="str">
        <f>CONCATENATE('PARC INGG'!A9," ",'PARC INGG'!A10," ",'PARC INGG'!A11," ",'PARC INGG'!A12," ",'PARC INGG'!A14)</f>
        <v>    </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oglio5">
    <tabColor theme="4" tint="0.39998000860214233"/>
  </sheetPr>
  <dimension ref="A1:AB120"/>
  <sheetViews>
    <sheetView zoomScalePageLayoutView="0" workbookViewId="0" topLeftCell="A100">
      <selection activeCell="C94" sqref="C94"/>
    </sheetView>
  </sheetViews>
  <sheetFormatPr defaultColWidth="9.140625" defaultRowHeight="12.75"/>
  <cols>
    <col min="1" max="1" width="13.140625" style="0" customWidth="1"/>
    <col min="2" max="2" width="11.140625" style="0" customWidth="1"/>
    <col min="3" max="3" width="8.28125" style="0" customWidth="1"/>
    <col min="4" max="4" width="49.28125" style="0" customWidth="1"/>
    <col min="5" max="5" width="15.57421875" style="0" customWidth="1"/>
    <col min="6" max="6" width="11.7109375" style="0" customWidth="1"/>
    <col min="7" max="8" width="6.7109375" style="0" customWidth="1"/>
    <col min="9" max="17" width="6.7109375" style="16" customWidth="1"/>
    <col min="18" max="25" width="6.7109375" style="0" customWidth="1"/>
    <col min="27" max="27" width="35.421875" style="0" customWidth="1"/>
    <col min="28" max="28" width="34.7109375" style="0" customWidth="1"/>
  </cols>
  <sheetData>
    <row r="1" spans="1:27" ht="134.25" customHeight="1" thickBot="1">
      <c r="A1" s="281" t="s">
        <v>206</v>
      </c>
      <c r="B1" s="116" t="s">
        <v>549</v>
      </c>
      <c r="C1" s="284" t="str">
        <f>CONCATENATE('PARC INGG'!C9," ",'PARC INGG'!C10," ",'PARC INGG'!C11," ",'PARC INGG'!C12," ",'PARC INGG'!C13," ",'PARC INGG'!C14)</f>
        <v>E.19 E.22 S.03 IA.03 IA.01 </v>
      </c>
      <c r="D1" s="397" t="s">
        <v>207</v>
      </c>
      <c r="E1" s="398"/>
      <c r="F1" s="399"/>
      <c r="G1" s="116" t="s">
        <v>208</v>
      </c>
      <c r="H1" s="116" t="s">
        <v>209</v>
      </c>
      <c r="I1" s="375" t="s">
        <v>210</v>
      </c>
      <c r="J1" s="376"/>
      <c r="K1" s="116" t="s">
        <v>211</v>
      </c>
      <c r="L1" s="116" t="s">
        <v>212</v>
      </c>
      <c r="M1" s="116" t="s">
        <v>213</v>
      </c>
      <c r="N1" s="116" t="s">
        <v>470</v>
      </c>
      <c r="O1" s="116" t="s">
        <v>214</v>
      </c>
      <c r="P1" s="372"/>
      <c r="Q1" s="123" t="s">
        <v>208</v>
      </c>
      <c r="R1" s="124" t="s">
        <v>209</v>
      </c>
      <c r="S1" s="370" t="s">
        <v>210</v>
      </c>
      <c r="T1" s="371"/>
      <c r="U1" s="124" t="s">
        <v>211</v>
      </c>
      <c r="V1" s="124" t="s">
        <v>212</v>
      </c>
      <c r="W1" s="124" t="s">
        <v>213</v>
      </c>
      <c r="X1" s="124" t="s">
        <v>470</v>
      </c>
      <c r="Y1" s="125" t="s">
        <v>214</v>
      </c>
      <c r="Z1" s="331" t="s">
        <v>505</v>
      </c>
      <c r="AA1" s="333" t="s">
        <v>506</v>
      </c>
    </row>
    <row r="2" spans="1:27" ht="28.5" customHeight="1" thickBot="1">
      <c r="A2" s="161" t="s">
        <v>405</v>
      </c>
      <c r="B2" s="162"/>
      <c r="C2" s="282" t="s">
        <v>550</v>
      </c>
      <c r="D2" s="115"/>
      <c r="E2" s="403" t="s">
        <v>499</v>
      </c>
      <c r="F2" s="404"/>
      <c r="G2" s="114" t="s">
        <v>419</v>
      </c>
      <c r="H2" s="114" t="s">
        <v>420</v>
      </c>
      <c r="I2" s="114" t="s">
        <v>417</v>
      </c>
      <c r="J2" s="114" t="s">
        <v>418</v>
      </c>
      <c r="K2" s="114" t="s">
        <v>421</v>
      </c>
      <c r="L2" s="114" t="s">
        <v>422</v>
      </c>
      <c r="M2" s="114" t="s">
        <v>423</v>
      </c>
      <c r="N2" s="114" t="s">
        <v>424</v>
      </c>
      <c r="O2" s="117" t="s">
        <v>425</v>
      </c>
      <c r="P2" s="373"/>
      <c r="Q2" s="126" t="s">
        <v>419</v>
      </c>
      <c r="R2" s="127" t="s">
        <v>420</v>
      </c>
      <c r="S2" s="127" t="s">
        <v>417</v>
      </c>
      <c r="T2" s="127" t="s">
        <v>418</v>
      </c>
      <c r="U2" s="127" t="s">
        <v>421</v>
      </c>
      <c r="V2" s="127" t="s">
        <v>422</v>
      </c>
      <c r="W2" s="127" t="s">
        <v>423</v>
      </c>
      <c r="X2" s="127" t="s">
        <v>424</v>
      </c>
      <c r="Y2" s="128" t="s">
        <v>425</v>
      </c>
      <c r="Z2" s="332"/>
      <c r="AA2" s="334"/>
    </row>
    <row r="3" spans="1:28" ht="34.5" customHeight="1">
      <c r="A3" s="361" t="s">
        <v>312</v>
      </c>
      <c r="B3" s="102" t="s">
        <v>215</v>
      </c>
      <c r="C3" s="285"/>
      <c r="D3" s="362" t="s">
        <v>216</v>
      </c>
      <c r="E3" s="363"/>
      <c r="F3" s="364"/>
      <c r="G3" s="103">
        <v>0.045</v>
      </c>
      <c r="H3" s="103">
        <v>0.045</v>
      </c>
      <c r="I3" s="103">
        <v>0.045</v>
      </c>
      <c r="J3" s="103">
        <v>0.045</v>
      </c>
      <c r="K3" s="103">
        <v>0.04</v>
      </c>
      <c r="L3" s="103">
        <v>0.035</v>
      </c>
      <c r="M3" s="103">
        <v>0.05</v>
      </c>
      <c r="N3" s="103">
        <v>0.04</v>
      </c>
      <c r="O3" s="163"/>
      <c r="P3" s="373"/>
      <c r="Q3" s="183">
        <f aca="true" t="shared" si="0" ref="Q3:Q12">IF($C3="SI",G3,"")</f>
      </c>
      <c r="R3" s="184">
        <f aca="true" t="shared" si="1" ref="R3:R12">IF($C3="SI",H3,"")</f>
      </c>
      <c r="S3" s="184">
        <f aca="true" t="shared" si="2" ref="S3:S12">IF($C3="SI",I3,"")</f>
      </c>
      <c r="T3" s="184">
        <f aca="true" t="shared" si="3" ref="T3:T12">IF($C3="SI",J3,"")</f>
      </c>
      <c r="U3" s="184">
        <f aca="true" t="shared" si="4" ref="U3:U12">IF($C3="SI",K3,"")</f>
      </c>
      <c r="V3" s="184">
        <f aca="true" t="shared" si="5" ref="V3:V12">IF($C3="SI",L3,"")</f>
      </c>
      <c r="W3" s="184">
        <f aca="true" t="shared" si="6" ref="W3:W12">IF($C3="SI",M3,"")</f>
      </c>
      <c r="X3" s="184">
        <f aca="true" t="shared" si="7" ref="X3:X12">IF($C3="SI",N3,"")</f>
      </c>
      <c r="Y3" s="188">
        <f aca="true" t="shared" si="8" ref="Y3:Y12">IF($C3="SI",O3,"")</f>
      </c>
      <c r="Z3" s="190">
        <f>IF($C3="SI",B3,"")</f>
      </c>
      <c r="AA3" s="345" t="s">
        <v>312</v>
      </c>
      <c r="AB3" s="11"/>
    </row>
    <row r="4" spans="1:27" ht="34.5" customHeight="1">
      <c r="A4" s="350"/>
      <c r="B4" s="74" t="s">
        <v>217</v>
      </c>
      <c r="C4" s="285"/>
      <c r="D4" s="352" t="s">
        <v>218</v>
      </c>
      <c r="E4" s="353"/>
      <c r="F4" s="354"/>
      <c r="G4" s="7">
        <v>0.09</v>
      </c>
      <c r="H4" s="7">
        <v>0.09</v>
      </c>
      <c r="I4" s="7">
        <v>0.09</v>
      </c>
      <c r="J4" s="7">
        <v>0.09</v>
      </c>
      <c r="K4" s="7">
        <v>0.08</v>
      </c>
      <c r="L4" s="7">
        <v>0.07</v>
      </c>
      <c r="M4" s="7">
        <v>0.1</v>
      </c>
      <c r="N4" s="7">
        <v>0.08</v>
      </c>
      <c r="O4" s="164"/>
      <c r="P4" s="373"/>
      <c r="Q4" s="166">
        <f t="shared" si="0"/>
      </c>
      <c r="R4" s="4">
        <f t="shared" si="1"/>
      </c>
      <c r="S4" s="4">
        <f t="shared" si="2"/>
      </c>
      <c r="T4" s="4">
        <f t="shared" si="3"/>
      </c>
      <c r="U4" s="4">
        <f t="shared" si="4"/>
      </c>
      <c r="V4" s="4">
        <f t="shared" si="5"/>
      </c>
      <c r="W4" s="4">
        <f t="shared" si="6"/>
      </c>
      <c r="X4" s="4">
        <f t="shared" si="7"/>
      </c>
      <c r="Y4" s="189">
        <f t="shared" si="8"/>
      </c>
      <c r="Z4" s="191">
        <f aca="true" t="shared" si="9" ref="Z4:Z12">IF($C4="SI",B4,"")</f>
      </c>
      <c r="AA4" s="346"/>
    </row>
    <row r="5" spans="1:27" ht="34.5" customHeight="1" thickBot="1">
      <c r="A5" s="351"/>
      <c r="B5" s="74" t="s">
        <v>219</v>
      </c>
      <c r="C5" s="285"/>
      <c r="D5" s="352" t="s">
        <v>220</v>
      </c>
      <c r="E5" s="353"/>
      <c r="F5" s="354"/>
      <c r="G5" s="7">
        <v>0.02</v>
      </c>
      <c r="H5" s="7">
        <v>0.02</v>
      </c>
      <c r="I5" s="7">
        <v>0.02</v>
      </c>
      <c r="J5" s="7">
        <v>0.02</v>
      </c>
      <c r="K5" s="7">
        <v>0.02</v>
      </c>
      <c r="L5" s="7">
        <v>0.02</v>
      </c>
      <c r="M5" s="7">
        <v>0.02</v>
      </c>
      <c r="N5" s="7">
        <v>0.02</v>
      </c>
      <c r="O5" s="164"/>
      <c r="P5" s="373"/>
      <c r="Q5" s="166">
        <f t="shared" si="0"/>
      </c>
      <c r="R5" s="4">
        <f t="shared" si="1"/>
      </c>
      <c r="S5" s="4">
        <f t="shared" si="2"/>
      </c>
      <c r="T5" s="4">
        <f t="shared" si="3"/>
      </c>
      <c r="U5" s="4">
        <f t="shared" si="4"/>
      </c>
      <c r="V5" s="4">
        <f t="shared" si="5"/>
      </c>
      <c r="W5" s="4">
        <f t="shared" si="6"/>
      </c>
      <c r="X5" s="4">
        <f t="shared" si="7"/>
      </c>
      <c r="Y5" s="189">
        <f t="shared" si="8"/>
      </c>
      <c r="Z5" s="194">
        <f t="shared" si="9"/>
      </c>
      <c r="AA5" s="195" t="str">
        <f>CONCATENATE(Z3," ",Z4," ",Z5)</f>
        <v>  </v>
      </c>
    </row>
    <row r="6" spans="1:27" ht="34.5" customHeight="1">
      <c r="A6" s="349" t="s">
        <v>313</v>
      </c>
      <c r="B6" s="74" t="s">
        <v>221</v>
      </c>
      <c r="C6" s="285"/>
      <c r="D6" s="352" t="s">
        <v>314</v>
      </c>
      <c r="E6" s="353"/>
      <c r="F6" s="354"/>
      <c r="G6" s="7">
        <v>0.04</v>
      </c>
      <c r="H6" s="7">
        <v>0.04</v>
      </c>
      <c r="I6" s="7">
        <v>0.04</v>
      </c>
      <c r="J6" s="7">
        <v>0.04</v>
      </c>
      <c r="K6" s="7">
        <v>0.04</v>
      </c>
      <c r="L6" s="7">
        <v>0.04</v>
      </c>
      <c r="M6" s="7">
        <v>0.04</v>
      </c>
      <c r="N6" s="7">
        <v>0.04</v>
      </c>
      <c r="O6" s="164"/>
      <c r="P6" s="373"/>
      <c r="Q6" s="166">
        <f t="shared" si="0"/>
      </c>
      <c r="R6" s="4">
        <f t="shared" si="1"/>
      </c>
      <c r="S6" s="4">
        <f t="shared" si="2"/>
      </c>
      <c r="T6" s="4">
        <f t="shared" si="3"/>
      </c>
      <c r="U6" s="4">
        <f t="shared" si="4"/>
      </c>
      <c r="V6" s="4">
        <f t="shared" si="5"/>
      </c>
      <c r="W6" s="4">
        <f t="shared" si="6"/>
      </c>
      <c r="X6" s="4">
        <f t="shared" si="7"/>
      </c>
      <c r="Y6" s="189">
        <f t="shared" si="8"/>
      </c>
      <c r="Z6" s="190">
        <f t="shared" si="9"/>
      </c>
      <c r="AA6" s="339" t="s">
        <v>514</v>
      </c>
    </row>
    <row r="7" spans="1:27" ht="34.5" customHeight="1">
      <c r="A7" s="350"/>
      <c r="B7" s="74" t="s">
        <v>222</v>
      </c>
      <c r="C7" s="285"/>
      <c r="D7" s="352" t="s">
        <v>315</v>
      </c>
      <c r="E7" s="353"/>
      <c r="F7" s="354"/>
      <c r="G7" s="7">
        <v>0.08</v>
      </c>
      <c r="H7" s="7">
        <v>0.08</v>
      </c>
      <c r="I7" s="7">
        <v>0.08</v>
      </c>
      <c r="J7" s="7">
        <v>0.08</v>
      </c>
      <c r="K7" s="7">
        <v>0.08</v>
      </c>
      <c r="L7" s="7">
        <v>0.08</v>
      </c>
      <c r="M7" s="7">
        <v>0.08</v>
      </c>
      <c r="N7" s="7">
        <v>0.09</v>
      </c>
      <c r="O7" s="164"/>
      <c r="P7" s="373"/>
      <c r="Q7" s="166">
        <f t="shared" si="0"/>
      </c>
      <c r="R7" s="4">
        <f t="shared" si="1"/>
      </c>
      <c r="S7" s="4">
        <f t="shared" si="2"/>
      </c>
      <c r="T7" s="4">
        <f t="shared" si="3"/>
      </c>
      <c r="U7" s="4">
        <f t="shared" si="4"/>
      </c>
      <c r="V7" s="4">
        <f t="shared" si="5"/>
      </c>
      <c r="W7" s="4">
        <f t="shared" si="6"/>
      </c>
      <c r="X7" s="4">
        <f t="shared" si="7"/>
      </c>
      <c r="Y7" s="189">
        <f t="shared" si="8"/>
      </c>
      <c r="Z7" s="191">
        <f t="shared" si="9"/>
      </c>
      <c r="AA7" s="340"/>
    </row>
    <row r="8" spans="1:27" ht="34.5" customHeight="1" thickBot="1">
      <c r="A8" s="351"/>
      <c r="B8" s="74" t="s">
        <v>223</v>
      </c>
      <c r="C8" s="285"/>
      <c r="D8" s="352" t="s">
        <v>316</v>
      </c>
      <c r="E8" s="353"/>
      <c r="F8" s="354"/>
      <c r="G8" s="7">
        <v>0.16</v>
      </c>
      <c r="H8" s="7">
        <v>0.16</v>
      </c>
      <c r="I8" s="7">
        <v>0.16</v>
      </c>
      <c r="J8" s="7">
        <v>0.16</v>
      </c>
      <c r="K8" s="7">
        <v>0.16</v>
      </c>
      <c r="L8" s="7">
        <v>0.16</v>
      </c>
      <c r="M8" s="7">
        <v>0.16</v>
      </c>
      <c r="N8" s="7">
        <v>0.16</v>
      </c>
      <c r="O8" s="164"/>
      <c r="P8" s="373"/>
      <c r="Q8" s="166">
        <f t="shared" si="0"/>
      </c>
      <c r="R8" s="4">
        <f t="shared" si="1"/>
      </c>
      <c r="S8" s="4">
        <f t="shared" si="2"/>
      </c>
      <c r="T8" s="4">
        <f t="shared" si="3"/>
      </c>
      <c r="U8" s="4">
        <f t="shared" si="4"/>
      </c>
      <c r="V8" s="4">
        <f t="shared" si="5"/>
      </c>
      <c r="W8" s="4">
        <f t="shared" si="6"/>
      </c>
      <c r="X8" s="4">
        <f t="shared" si="7"/>
      </c>
      <c r="Y8" s="189">
        <f t="shared" si="8"/>
      </c>
      <c r="Z8" s="194">
        <f t="shared" si="9"/>
      </c>
      <c r="AA8" s="195" t="str">
        <f>CONCATENATE(Z6," ",Z7," ",Z8)</f>
        <v>  </v>
      </c>
    </row>
    <row r="9" spans="1:27" ht="34.5" customHeight="1">
      <c r="A9" s="349" t="s">
        <v>317</v>
      </c>
      <c r="B9" s="74" t="s">
        <v>224</v>
      </c>
      <c r="C9" s="285"/>
      <c r="D9" s="352" t="s">
        <v>318</v>
      </c>
      <c r="E9" s="353"/>
      <c r="F9" s="354"/>
      <c r="G9" s="164"/>
      <c r="H9" s="164"/>
      <c r="I9" s="164"/>
      <c r="J9" s="164"/>
      <c r="K9" s="164"/>
      <c r="L9" s="164"/>
      <c r="M9" s="164"/>
      <c r="N9" s="7">
        <v>0.02</v>
      </c>
      <c r="O9" s="118">
        <v>0.0003</v>
      </c>
      <c r="P9" s="373"/>
      <c r="Q9" s="166">
        <f t="shared" si="0"/>
      </c>
      <c r="R9" s="4">
        <f t="shared" si="1"/>
      </c>
      <c r="S9" s="4">
        <f t="shared" si="2"/>
      </c>
      <c r="T9" s="4">
        <f t="shared" si="3"/>
      </c>
      <c r="U9" s="4">
        <f t="shared" si="4"/>
      </c>
      <c r="V9" s="4">
        <f t="shared" si="5"/>
      </c>
      <c r="W9" s="4">
        <f t="shared" si="6"/>
      </c>
      <c r="X9" s="4">
        <f t="shared" si="7"/>
      </c>
      <c r="Y9" s="189">
        <f t="shared" si="8"/>
      </c>
      <c r="Z9" s="190">
        <f t="shared" si="9"/>
      </c>
      <c r="AA9" s="339" t="s">
        <v>513</v>
      </c>
    </row>
    <row r="10" spans="1:27" ht="34.5" customHeight="1">
      <c r="A10" s="350"/>
      <c r="B10" s="74" t="s">
        <v>225</v>
      </c>
      <c r="C10" s="285"/>
      <c r="D10" s="352" t="s">
        <v>319</v>
      </c>
      <c r="E10" s="353"/>
      <c r="F10" s="354"/>
      <c r="G10" s="164"/>
      <c r="H10" s="164"/>
      <c r="I10" s="164"/>
      <c r="J10" s="164"/>
      <c r="K10" s="164"/>
      <c r="L10" s="164"/>
      <c r="M10" s="164"/>
      <c r="N10" s="7">
        <v>0.015</v>
      </c>
      <c r="O10" s="118">
        <v>0.00025</v>
      </c>
      <c r="P10" s="373"/>
      <c r="Q10" s="166">
        <f t="shared" si="0"/>
      </c>
      <c r="R10" s="4">
        <f t="shared" si="1"/>
      </c>
      <c r="S10" s="4">
        <f t="shared" si="2"/>
      </c>
      <c r="T10" s="4">
        <f t="shared" si="3"/>
      </c>
      <c r="U10" s="4">
        <f t="shared" si="4"/>
      </c>
      <c r="V10" s="4">
        <f t="shared" si="5"/>
      </c>
      <c r="W10" s="4">
        <f t="shared" si="6"/>
      </c>
      <c r="X10" s="4">
        <f t="shared" si="7"/>
      </c>
      <c r="Y10" s="189">
        <f t="shared" si="8"/>
      </c>
      <c r="Z10" s="191">
        <f t="shared" si="9"/>
      </c>
      <c r="AA10" s="340"/>
    </row>
    <row r="11" spans="1:27" ht="56.25" customHeight="1" thickBot="1">
      <c r="A11" s="351"/>
      <c r="B11" s="74" t="s">
        <v>226</v>
      </c>
      <c r="C11" s="285"/>
      <c r="D11" s="352" t="s">
        <v>471</v>
      </c>
      <c r="E11" s="353"/>
      <c r="F11" s="354"/>
      <c r="G11" s="164"/>
      <c r="H11" s="164"/>
      <c r="I11" s="164"/>
      <c r="J11" s="164"/>
      <c r="K11" s="164"/>
      <c r="L11" s="164"/>
      <c r="M11" s="164"/>
      <c r="N11" s="7">
        <v>0.025</v>
      </c>
      <c r="O11" s="118">
        <v>0.03</v>
      </c>
      <c r="P11" s="373"/>
      <c r="Q11" s="166">
        <f t="shared" si="0"/>
      </c>
      <c r="R11" s="4">
        <f t="shared" si="1"/>
      </c>
      <c r="S11" s="4">
        <f t="shared" si="2"/>
      </c>
      <c r="T11" s="4">
        <f t="shared" si="3"/>
      </c>
      <c r="U11" s="4">
        <f t="shared" si="4"/>
      </c>
      <c r="V11" s="4">
        <f t="shared" si="5"/>
      </c>
      <c r="W11" s="4">
        <f t="shared" si="6"/>
      </c>
      <c r="X11" s="4">
        <f t="shared" si="7"/>
      </c>
      <c r="Y11" s="189">
        <f t="shared" si="8"/>
      </c>
      <c r="Z11" s="194">
        <f t="shared" si="9"/>
      </c>
      <c r="AA11" s="195" t="str">
        <f>CONCATENATE(Z9," ",Z10," ",Z11)</f>
        <v>  </v>
      </c>
    </row>
    <row r="12" spans="1:27" ht="44.25" customHeight="1" thickBot="1">
      <c r="A12" s="75" t="s">
        <v>320</v>
      </c>
      <c r="B12" s="74" t="s">
        <v>227</v>
      </c>
      <c r="C12" s="285"/>
      <c r="D12" s="352" t="s">
        <v>321</v>
      </c>
      <c r="E12" s="353"/>
      <c r="F12" s="354"/>
      <c r="G12" s="164"/>
      <c r="H12" s="164"/>
      <c r="I12" s="164"/>
      <c r="J12" s="164"/>
      <c r="K12" s="164"/>
      <c r="L12" s="164"/>
      <c r="M12" s="164"/>
      <c r="N12" s="7">
        <v>0.005</v>
      </c>
      <c r="O12" s="118">
        <v>0.0015</v>
      </c>
      <c r="P12" s="373"/>
      <c r="Q12" s="166">
        <f t="shared" si="0"/>
      </c>
      <c r="R12" s="4">
        <f t="shared" si="1"/>
      </c>
      <c r="S12" s="4">
        <f t="shared" si="2"/>
      </c>
      <c r="T12" s="4">
        <f t="shared" si="3"/>
      </c>
      <c r="U12" s="4">
        <f t="shared" si="4"/>
      </c>
      <c r="V12" s="4">
        <f t="shared" si="5"/>
      </c>
      <c r="W12" s="4">
        <f t="shared" si="6"/>
      </c>
      <c r="X12" s="4">
        <f t="shared" si="7"/>
      </c>
      <c r="Y12" s="189">
        <f t="shared" si="8"/>
      </c>
      <c r="Z12" s="190">
        <f t="shared" si="9"/>
      </c>
      <c r="AA12" s="206" t="s">
        <v>512</v>
      </c>
    </row>
    <row r="13" spans="1:27" ht="34.5" customHeight="1" thickBot="1">
      <c r="A13" s="104"/>
      <c r="B13" s="105"/>
      <c r="C13" s="283"/>
      <c r="D13" s="107" t="s">
        <v>428</v>
      </c>
      <c r="E13" s="365" t="s">
        <v>460</v>
      </c>
      <c r="F13" s="366"/>
      <c r="G13" s="108">
        <f aca="true" t="shared" si="10" ref="G13:O13">SUM(G3:G12)</f>
        <v>0.43500000000000005</v>
      </c>
      <c r="H13" s="108">
        <f t="shared" si="10"/>
        <v>0.43500000000000005</v>
      </c>
      <c r="I13" s="108">
        <f t="shared" si="10"/>
        <v>0.43500000000000005</v>
      </c>
      <c r="J13" s="108">
        <f t="shared" si="10"/>
        <v>0.43500000000000005</v>
      </c>
      <c r="K13" s="108">
        <f t="shared" si="10"/>
        <v>0.42000000000000004</v>
      </c>
      <c r="L13" s="108">
        <f t="shared" si="10"/>
        <v>0.405</v>
      </c>
      <c r="M13" s="108">
        <f t="shared" si="10"/>
        <v>0.45000000000000007</v>
      </c>
      <c r="N13" s="108">
        <f t="shared" si="10"/>
        <v>0.4950000000000001</v>
      </c>
      <c r="O13" s="119">
        <f t="shared" si="10"/>
        <v>0.032049999999999995</v>
      </c>
      <c r="P13" s="373"/>
      <c r="Q13" s="167">
        <f aca="true" t="shared" si="11" ref="Q13:Y13">SUM(Q3:Q12)</f>
        <v>0</v>
      </c>
      <c r="R13" s="72">
        <f t="shared" si="11"/>
        <v>0</v>
      </c>
      <c r="S13" s="72">
        <f t="shared" si="11"/>
        <v>0</v>
      </c>
      <c r="T13" s="72">
        <f t="shared" si="11"/>
        <v>0</v>
      </c>
      <c r="U13" s="72">
        <f t="shared" si="11"/>
        <v>0</v>
      </c>
      <c r="V13" s="72">
        <f t="shared" si="11"/>
        <v>0</v>
      </c>
      <c r="W13" s="72">
        <f t="shared" si="11"/>
        <v>0</v>
      </c>
      <c r="X13" s="72">
        <f t="shared" si="11"/>
        <v>0</v>
      </c>
      <c r="Y13" s="205">
        <f t="shared" si="11"/>
        <v>0</v>
      </c>
      <c r="Z13" s="201">
        <f>SUM(Q13:Y13)</f>
        <v>0</v>
      </c>
      <c r="AA13" s="193">
        <f>Z12</f>
      </c>
    </row>
    <row r="14" spans="1:27" ht="34.5" customHeight="1">
      <c r="A14" s="358" t="s">
        <v>322</v>
      </c>
      <c r="B14" s="102" t="s">
        <v>228</v>
      </c>
      <c r="C14" s="286"/>
      <c r="D14" s="400" t="s">
        <v>229</v>
      </c>
      <c r="E14" s="401"/>
      <c r="F14" s="402"/>
      <c r="G14" s="103">
        <v>0.09</v>
      </c>
      <c r="H14" s="103">
        <v>0.09</v>
      </c>
      <c r="I14" s="103">
        <v>0.09</v>
      </c>
      <c r="J14" s="103">
        <v>0.09</v>
      </c>
      <c r="K14" s="103">
        <v>0.08</v>
      </c>
      <c r="L14" s="103">
        <v>0.07</v>
      </c>
      <c r="M14" s="103">
        <v>0.1</v>
      </c>
      <c r="N14" s="103">
        <v>0.08</v>
      </c>
      <c r="O14" s="176"/>
      <c r="P14" s="373"/>
      <c r="Q14" s="165">
        <f aca="true" t="shared" si="12" ref="Q14:Q37">IF($C14="SI",G14,"")</f>
      </c>
      <c r="R14" s="109">
        <f aca="true" t="shared" si="13" ref="R14:R37">IF($C14="SI",H14,"")</f>
      </c>
      <c r="S14" s="109">
        <f aca="true" t="shared" si="14" ref="S14:S37">IF($C14="SI",I14,"")</f>
      </c>
      <c r="T14" s="109">
        <f aca="true" t="shared" si="15" ref="T14:T37">IF($C14="SI",J14,"")</f>
      </c>
      <c r="U14" s="109">
        <f aca="true" t="shared" si="16" ref="U14:U37">IF($C14="SI",K14,"")</f>
      </c>
      <c r="V14" s="109">
        <f aca="true" t="shared" si="17" ref="V14:V37">IF($C14="SI",L14,"")</f>
      </c>
      <c r="W14" s="109">
        <f aca="true" t="shared" si="18" ref="W14:W37">IF($C14="SI",M14,"")</f>
      </c>
      <c r="X14" s="109">
        <f aca="true" t="shared" si="19" ref="X14:X37">IF($C14="SI",N14,"")</f>
      </c>
      <c r="Y14" s="185">
        <f aca="true" t="shared" si="20" ref="Y14:Y29">IF($C14="SI",O14,"")</f>
      </c>
      <c r="Z14" s="196">
        <f>IF($C14="SI",B14,"")</f>
      </c>
      <c r="AA14" s="347" t="s">
        <v>507</v>
      </c>
    </row>
    <row r="15" spans="1:27" ht="34.5" customHeight="1">
      <c r="A15" s="359"/>
      <c r="B15" s="74" t="s">
        <v>230</v>
      </c>
      <c r="C15" s="286"/>
      <c r="D15" s="405" t="s">
        <v>231</v>
      </c>
      <c r="E15" s="406"/>
      <c r="F15" s="407"/>
      <c r="G15" s="7">
        <v>0.01</v>
      </c>
      <c r="H15" s="7">
        <v>0.01</v>
      </c>
      <c r="I15" s="7">
        <v>0.01</v>
      </c>
      <c r="J15" s="7">
        <v>0.01</v>
      </c>
      <c r="K15" s="7">
        <v>0.01</v>
      </c>
      <c r="L15" s="7">
        <v>0.01</v>
      </c>
      <c r="M15" s="7">
        <v>0.01</v>
      </c>
      <c r="N15" s="7">
        <v>0.01</v>
      </c>
      <c r="O15" s="169"/>
      <c r="P15" s="373"/>
      <c r="Q15" s="166">
        <f t="shared" si="12"/>
      </c>
      <c r="R15" s="4">
        <f t="shared" si="13"/>
      </c>
      <c r="S15" s="4">
        <f t="shared" si="14"/>
      </c>
      <c r="T15" s="4">
        <f t="shared" si="15"/>
      </c>
      <c r="U15" s="4">
        <f t="shared" si="16"/>
      </c>
      <c r="V15" s="4">
        <f t="shared" si="17"/>
      </c>
      <c r="W15" s="4">
        <f t="shared" si="18"/>
      </c>
      <c r="X15" s="4">
        <f t="shared" si="19"/>
      </c>
      <c r="Y15" s="189">
        <f t="shared" si="20"/>
      </c>
      <c r="Z15" s="191">
        <f aca="true" t="shared" si="21" ref="Z15:Z37">IF($C15="SI",B15,"")</f>
      </c>
      <c r="AA15" s="348"/>
    </row>
    <row r="16" spans="1:27" ht="34.5" customHeight="1">
      <c r="A16" s="359"/>
      <c r="B16" s="73" t="s">
        <v>232</v>
      </c>
      <c r="C16" s="286"/>
      <c r="D16" s="352" t="s">
        <v>323</v>
      </c>
      <c r="E16" s="353"/>
      <c r="F16" s="354"/>
      <c r="G16" s="7">
        <v>0.02</v>
      </c>
      <c r="H16" s="7">
        <v>0.02</v>
      </c>
      <c r="I16" s="7">
        <v>0.02</v>
      </c>
      <c r="J16" s="7">
        <v>0.02</v>
      </c>
      <c r="K16" s="7">
        <v>0.02</v>
      </c>
      <c r="L16" s="7">
        <v>0.02</v>
      </c>
      <c r="M16" s="164"/>
      <c r="N16" s="7">
        <v>0.02</v>
      </c>
      <c r="O16" s="169"/>
      <c r="P16" s="373"/>
      <c r="Q16" s="166">
        <f t="shared" si="12"/>
      </c>
      <c r="R16" s="4">
        <f t="shared" si="13"/>
      </c>
      <c r="S16" s="4">
        <f t="shared" si="14"/>
      </c>
      <c r="T16" s="4">
        <f t="shared" si="15"/>
      </c>
      <c r="U16" s="4">
        <f t="shared" si="16"/>
      </c>
      <c r="V16" s="4">
        <f t="shared" si="17"/>
      </c>
      <c r="W16" s="4">
        <f t="shared" si="18"/>
      </c>
      <c r="X16" s="4">
        <f t="shared" si="19"/>
      </c>
      <c r="Y16" s="189">
        <f t="shared" si="20"/>
      </c>
      <c r="Z16" s="191">
        <f t="shared" si="21"/>
      </c>
      <c r="AA16" s="348"/>
    </row>
    <row r="17" spans="1:27" ht="34.5" customHeight="1">
      <c r="A17" s="359"/>
      <c r="B17" s="74" t="s">
        <v>233</v>
      </c>
      <c r="C17" s="286"/>
      <c r="D17" s="393" t="s">
        <v>324</v>
      </c>
      <c r="E17" s="380"/>
      <c r="F17" s="381"/>
      <c r="G17" s="5">
        <v>0.03</v>
      </c>
      <c r="H17" s="5">
        <v>0.03</v>
      </c>
      <c r="I17" s="5">
        <v>0.03</v>
      </c>
      <c r="J17" s="5">
        <v>0.03</v>
      </c>
      <c r="K17" s="5">
        <v>0.03</v>
      </c>
      <c r="L17" s="5">
        <v>0.03</v>
      </c>
      <c r="M17" s="5">
        <v>0.03</v>
      </c>
      <c r="N17" s="5">
        <v>0.03</v>
      </c>
      <c r="O17" s="169"/>
      <c r="P17" s="373"/>
      <c r="Q17" s="166">
        <f t="shared" si="12"/>
      </c>
      <c r="R17" s="4">
        <f t="shared" si="13"/>
      </c>
      <c r="S17" s="4">
        <f t="shared" si="14"/>
      </c>
      <c r="T17" s="4">
        <f t="shared" si="15"/>
      </c>
      <c r="U17" s="4">
        <f t="shared" si="16"/>
      </c>
      <c r="V17" s="4">
        <f t="shared" si="17"/>
      </c>
      <c r="W17" s="4">
        <f t="shared" si="18"/>
      </c>
      <c r="X17" s="4">
        <f t="shared" si="19"/>
      </c>
      <c r="Y17" s="189">
        <f t="shared" si="20"/>
      </c>
      <c r="Z17" s="191">
        <f t="shared" si="21"/>
      </c>
      <c r="AA17" s="348"/>
    </row>
    <row r="18" spans="1:27" ht="34.5" customHeight="1">
      <c r="A18" s="359"/>
      <c r="B18" s="73" t="s">
        <v>234</v>
      </c>
      <c r="C18" s="286"/>
      <c r="D18" s="393" t="s">
        <v>325</v>
      </c>
      <c r="E18" s="380"/>
      <c r="F18" s="381"/>
      <c r="G18" s="5">
        <v>0.07</v>
      </c>
      <c r="H18" s="5">
        <v>0.07</v>
      </c>
      <c r="I18" s="5">
        <v>0.07</v>
      </c>
      <c r="J18" s="5">
        <v>0.07</v>
      </c>
      <c r="K18" s="5">
        <v>0.07</v>
      </c>
      <c r="L18" s="5">
        <v>0.07</v>
      </c>
      <c r="M18" s="5">
        <v>0.07</v>
      </c>
      <c r="N18" s="5">
        <v>0.07</v>
      </c>
      <c r="O18" s="169"/>
      <c r="P18" s="373"/>
      <c r="Q18" s="166">
        <f t="shared" si="12"/>
      </c>
      <c r="R18" s="4">
        <f t="shared" si="13"/>
      </c>
      <c r="S18" s="4">
        <f t="shared" si="14"/>
      </c>
      <c r="T18" s="4">
        <f t="shared" si="15"/>
      </c>
      <c r="U18" s="4">
        <f t="shared" si="16"/>
      </c>
      <c r="V18" s="4">
        <f t="shared" si="17"/>
      </c>
      <c r="W18" s="4">
        <f t="shared" si="18"/>
      </c>
      <c r="X18" s="4">
        <f t="shared" si="19"/>
      </c>
      <c r="Y18" s="189">
        <f t="shared" si="20"/>
      </c>
      <c r="Z18" s="191">
        <f t="shared" si="21"/>
      </c>
      <c r="AA18" s="348"/>
    </row>
    <row r="19" spans="1:27" ht="34.5" customHeight="1">
      <c r="A19" s="359"/>
      <c r="B19" s="74" t="s">
        <v>235</v>
      </c>
      <c r="C19" s="286"/>
      <c r="D19" s="394" t="s">
        <v>236</v>
      </c>
      <c r="E19" s="395"/>
      <c r="F19" s="396"/>
      <c r="G19" s="5">
        <v>0.03</v>
      </c>
      <c r="H19" s="5">
        <v>0.03</v>
      </c>
      <c r="I19" s="5">
        <v>0.03</v>
      </c>
      <c r="J19" s="5">
        <v>0.03</v>
      </c>
      <c r="K19" s="5">
        <v>0.03</v>
      </c>
      <c r="L19" s="5">
        <v>0.03</v>
      </c>
      <c r="M19" s="164"/>
      <c r="N19" s="5">
        <v>0.03</v>
      </c>
      <c r="O19" s="169"/>
      <c r="P19" s="373"/>
      <c r="Q19" s="166">
        <f t="shared" si="12"/>
      </c>
      <c r="R19" s="4">
        <f t="shared" si="13"/>
      </c>
      <c r="S19" s="4">
        <f t="shared" si="14"/>
      </c>
      <c r="T19" s="4">
        <f t="shared" si="15"/>
      </c>
      <c r="U19" s="4">
        <f t="shared" si="16"/>
      </c>
      <c r="V19" s="4">
        <f t="shared" si="17"/>
      </c>
      <c r="W19" s="4">
        <f t="shared" si="18"/>
      </c>
      <c r="X19" s="4">
        <f t="shared" si="19"/>
      </c>
      <c r="Y19" s="189">
        <f t="shared" si="20"/>
      </c>
      <c r="Z19" s="191">
        <f t="shared" si="21"/>
      </c>
      <c r="AA19" s="348"/>
    </row>
    <row r="20" spans="1:27" ht="34.5" customHeight="1">
      <c r="A20" s="359"/>
      <c r="B20" s="73" t="s">
        <v>237</v>
      </c>
      <c r="C20" s="286"/>
      <c r="D20" s="394" t="s">
        <v>238</v>
      </c>
      <c r="E20" s="395"/>
      <c r="F20" s="396"/>
      <c r="G20" s="5">
        <v>0.015</v>
      </c>
      <c r="H20" s="5">
        <v>0.015</v>
      </c>
      <c r="I20" s="5">
        <v>0.015</v>
      </c>
      <c r="J20" s="5">
        <v>0.015</v>
      </c>
      <c r="K20" s="5">
        <v>0.015</v>
      </c>
      <c r="L20" s="5">
        <v>0.015</v>
      </c>
      <c r="M20" s="164"/>
      <c r="N20" s="5">
        <v>0.015</v>
      </c>
      <c r="O20" s="169"/>
      <c r="P20" s="373"/>
      <c r="Q20" s="166">
        <f t="shared" si="12"/>
      </c>
      <c r="R20" s="4">
        <f t="shared" si="13"/>
      </c>
      <c r="S20" s="4">
        <f t="shared" si="14"/>
      </c>
      <c r="T20" s="4">
        <f t="shared" si="15"/>
      </c>
      <c r="U20" s="4">
        <f t="shared" si="16"/>
      </c>
      <c r="V20" s="4">
        <f t="shared" si="17"/>
      </c>
      <c r="W20" s="4">
        <f t="shared" si="18"/>
      </c>
      <c r="X20" s="4">
        <f t="shared" si="19"/>
      </c>
      <c r="Y20" s="189">
        <f t="shared" si="20"/>
      </c>
      <c r="Z20" s="191">
        <f t="shared" si="21"/>
      </c>
      <c r="AA20" s="348"/>
    </row>
    <row r="21" spans="1:27" ht="34.5" customHeight="1">
      <c r="A21" s="359"/>
      <c r="B21" s="74" t="s">
        <v>239</v>
      </c>
      <c r="C21" s="286"/>
      <c r="D21" s="394" t="s">
        <v>240</v>
      </c>
      <c r="E21" s="395"/>
      <c r="F21" s="396"/>
      <c r="G21" s="5">
        <v>0.015</v>
      </c>
      <c r="H21" s="5">
        <v>0.015</v>
      </c>
      <c r="I21" s="5">
        <v>0.015</v>
      </c>
      <c r="J21" s="5">
        <v>0.015</v>
      </c>
      <c r="K21" s="5">
        <v>0.015</v>
      </c>
      <c r="L21" s="5">
        <v>0.015</v>
      </c>
      <c r="M21" s="164"/>
      <c r="N21" s="5">
        <v>0.015</v>
      </c>
      <c r="O21" s="169"/>
      <c r="P21" s="373"/>
      <c r="Q21" s="166">
        <f t="shared" si="12"/>
      </c>
      <c r="R21" s="4">
        <f t="shared" si="13"/>
      </c>
      <c r="S21" s="4">
        <f t="shared" si="14"/>
      </c>
      <c r="T21" s="4">
        <f t="shared" si="15"/>
      </c>
      <c r="U21" s="4">
        <f t="shared" si="16"/>
      </c>
      <c r="V21" s="4">
        <f t="shared" si="17"/>
      </c>
      <c r="W21" s="4">
        <f t="shared" si="18"/>
      </c>
      <c r="X21" s="4">
        <f t="shared" si="19"/>
      </c>
      <c r="Y21" s="189">
        <f t="shared" si="20"/>
      </c>
      <c r="Z21" s="191">
        <f t="shared" si="21"/>
      </c>
      <c r="AA21" s="348"/>
    </row>
    <row r="22" spans="1:27" ht="34.5" customHeight="1">
      <c r="A22" s="359"/>
      <c r="B22" s="73" t="s">
        <v>241</v>
      </c>
      <c r="C22" s="286"/>
      <c r="D22" s="405" t="s">
        <v>242</v>
      </c>
      <c r="E22" s="406"/>
      <c r="F22" s="407"/>
      <c r="G22" s="5">
        <v>0.015</v>
      </c>
      <c r="H22" s="5">
        <v>0.015</v>
      </c>
      <c r="I22" s="5">
        <v>0.015</v>
      </c>
      <c r="J22" s="5">
        <v>0.015</v>
      </c>
      <c r="K22" s="5">
        <v>0.015</v>
      </c>
      <c r="L22" s="5">
        <v>0.015</v>
      </c>
      <c r="M22" s="164"/>
      <c r="N22" s="5">
        <v>0.015</v>
      </c>
      <c r="O22" s="169"/>
      <c r="P22" s="373"/>
      <c r="Q22" s="166">
        <f t="shared" si="12"/>
      </c>
      <c r="R22" s="4">
        <f t="shared" si="13"/>
      </c>
      <c r="S22" s="4">
        <f t="shared" si="14"/>
      </c>
      <c r="T22" s="4">
        <f t="shared" si="15"/>
      </c>
      <c r="U22" s="4">
        <f t="shared" si="16"/>
      </c>
      <c r="V22" s="4">
        <f t="shared" si="17"/>
      </c>
      <c r="W22" s="4">
        <f t="shared" si="18"/>
      </c>
      <c r="X22" s="4">
        <f t="shared" si="19"/>
      </c>
      <c r="Y22" s="189">
        <f t="shared" si="20"/>
      </c>
      <c r="Z22" s="191">
        <f t="shared" si="21"/>
      </c>
      <c r="AA22" s="348"/>
    </row>
    <row r="23" spans="1:27" ht="34.5" customHeight="1">
      <c r="A23" s="359"/>
      <c r="B23" s="74" t="s">
        <v>243</v>
      </c>
      <c r="C23" s="286"/>
      <c r="D23" s="394" t="s">
        <v>244</v>
      </c>
      <c r="E23" s="395"/>
      <c r="F23" s="396"/>
      <c r="G23" s="5">
        <v>0.015</v>
      </c>
      <c r="H23" s="5">
        <v>0.015</v>
      </c>
      <c r="I23" s="5">
        <v>0.015</v>
      </c>
      <c r="J23" s="5">
        <v>0.015</v>
      </c>
      <c r="K23" s="5">
        <v>0.015</v>
      </c>
      <c r="L23" s="5">
        <v>0.015</v>
      </c>
      <c r="M23" s="164"/>
      <c r="N23" s="5">
        <v>0.015</v>
      </c>
      <c r="O23" s="169"/>
      <c r="P23" s="373"/>
      <c r="Q23" s="166">
        <f t="shared" si="12"/>
      </c>
      <c r="R23" s="4">
        <f t="shared" si="13"/>
      </c>
      <c r="S23" s="4">
        <f t="shared" si="14"/>
      </c>
      <c r="T23" s="4">
        <f t="shared" si="15"/>
      </c>
      <c r="U23" s="4">
        <f t="shared" si="16"/>
      </c>
      <c r="V23" s="4">
        <f t="shared" si="17"/>
      </c>
      <c r="W23" s="4">
        <f t="shared" si="18"/>
      </c>
      <c r="X23" s="4">
        <f t="shared" si="19"/>
      </c>
      <c r="Y23" s="189">
        <f t="shared" si="20"/>
      </c>
      <c r="Z23" s="191">
        <f t="shared" si="21"/>
      </c>
      <c r="AA23" s="348"/>
    </row>
    <row r="24" spans="1:27" ht="19.5" customHeight="1">
      <c r="A24" s="359"/>
      <c r="B24" s="76" t="s">
        <v>245</v>
      </c>
      <c r="C24" s="53"/>
      <c r="D24" s="352" t="s">
        <v>487</v>
      </c>
      <c r="E24" s="353"/>
      <c r="F24" s="354"/>
      <c r="G24" s="52">
        <v>0</v>
      </c>
      <c r="H24" s="52">
        <v>0</v>
      </c>
      <c r="I24" s="52">
        <v>0</v>
      </c>
      <c r="J24" s="52">
        <v>0</v>
      </c>
      <c r="K24" s="52">
        <v>0</v>
      </c>
      <c r="L24" s="52">
        <v>0</v>
      </c>
      <c r="M24" s="164"/>
      <c r="N24" s="52">
        <v>0</v>
      </c>
      <c r="O24" s="169"/>
      <c r="P24" s="373"/>
      <c r="Q24" s="166">
        <f t="shared" si="12"/>
      </c>
      <c r="R24" s="4">
        <f t="shared" si="13"/>
      </c>
      <c r="S24" s="4">
        <f t="shared" si="14"/>
      </c>
      <c r="T24" s="4">
        <f t="shared" si="15"/>
      </c>
      <c r="U24" s="4">
        <f t="shared" si="16"/>
      </c>
      <c r="V24" s="4">
        <f t="shared" si="17"/>
      </c>
      <c r="W24" s="4">
        <f t="shared" si="18"/>
      </c>
      <c r="X24" s="4">
        <f t="shared" si="19"/>
      </c>
      <c r="Y24" s="189">
        <f t="shared" si="20"/>
      </c>
      <c r="Z24" s="199">
        <f t="shared" si="21"/>
      </c>
      <c r="AA24" s="348"/>
    </row>
    <row r="25" spans="1:27" ht="34.5" customHeight="1">
      <c r="A25" s="359"/>
      <c r="B25" s="73" t="s">
        <v>249</v>
      </c>
      <c r="C25" s="287"/>
      <c r="D25" s="352" t="s">
        <v>547</v>
      </c>
      <c r="E25" s="353"/>
      <c r="F25" s="354"/>
      <c r="G25" s="7">
        <v>0.02</v>
      </c>
      <c r="H25" s="7">
        <v>0.02</v>
      </c>
      <c r="I25" s="7">
        <v>0.02</v>
      </c>
      <c r="J25" s="7">
        <v>0.02</v>
      </c>
      <c r="K25" s="7">
        <v>0.02</v>
      </c>
      <c r="L25" s="7">
        <v>0.02</v>
      </c>
      <c r="M25" s="7">
        <v>0.02</v>
      </c>
      <c r="N25" s="7">
        <v>0.02</v>
      </c>
      <c r="O25" s="169"/>
      <c r="P25" s="373"/>
      <c r="Q25" s="166">
        <f t="shared" si="12"/>
      </c>
      <c r="R25" s="4">
        <f t="shared" si="13"/>
      </c>
      <c r="S25" s="4">
        <f t="shared" si="14"/>
      </c>
      <c r="T25" s="4">
        <f t="shared" si="15"/>
      </c>
      <c r="U25" s="4">
        <f t="shared" si="16"/>
      </c>
      <c r="V25" s="4">
        <f t="shared" si="17"/>
      </c>
      <c r="W25" s="4">
        <f t="shared" si="18"/>
      </c>
      <c r="X25" s="4">
        <f t="shared" si="19"/>
      </c>
      <c r="Y25" s="189">
        <f t="shared" si="20"/>
      </c>
      <c r="Z25" s="191">
        <f t="shared" si="21"/>
      </c>
      <c r="AA25" s="348"/>
    </row>
    <row r="26" spans="1:27" ht="34.5" customHeight="1">
      <c r="A26" s="359"/>
      <c r="B26" s="74" t="s">
        <v>250</v>
      </c>
      <c r="C26" s="287"/>
      <c r="D26" s="352" t="s">
        <v>326</v>
      </c>
      <c r="E26" s="353"/>
      <c r="F26" s="354"/>
      <c r="G26" s="7">
        <v>0.03</v>
      </c>
      <c r="H26" s="7">
        <v>0.03</v>
      </c>
      <c r="I26" s="7">
        <v>0.01</v>
      </c>
      <c r="J26" s="7">
        <v>0.01</v>
      </c>
      <c r="K26" s="7">
        <v>0.03</v>
      </c>
      <c r="L26" s="7">
        <v>0.01</v>
      </c>
      <c r="M26" s="164"/>
      <c r="N26" s="7">
        <v>0.03</v>
      </c>
      <c r="O26" s="169"/>
      <c r="P26" s="373"/>
      <c r="Q26" s="166">
        <f t="shared" si="12"/>
      </c>
      <c r="R26" s="4">
        <f t="shared" si="13"/>
      </c>
      <c r="S26" s="4">
        <f t="shared" si="14"/>
      </c>
      <c r="T26" s="4">
        <f t="shared" si="15"/>
      </c>
      <c r="U26" s="4">
        <f t="shared" si="16"/>
      </c>
      <c r="V26" s="4">
        <f t="shared" si="17"/>
      </c>
      <c r="W26" s="4">
        <f t="shared" si="18"/>
      </c>
      <c r="X26" s="4">
        <f t="shared" si="19"/>
      </c>
      <c r="Y26" s="189">
        <f t="shared" si="20"/>
      </c>
      <c r="Z26" s="191">
        <f t="shared" si="21"/>
      </c>
      <c r="AA26" s="348"/>
    </row>
    <row r="27" spans="1:27" ht="34.5" customHeight="1">
      <c r="A27" s="359"/>
      <c r="B27" s="74" t="s">
        <v>251</v>
      </c>
      <c r="C27" s="287"/>
      <c r="D27" s="352" t="s">
        <v>327</v>
      </c>
      <c r="E27" s="353"/>
      <c r="F27" s="354"/>
      <c r="G27" s="7">
        <v>0.03</v>
      </c>
      <c r="H27" s="7">
        <v>0.03</v>
      </c>
      <c r="I27" s="7">
        <v>0.03</v>
      </c>
      <c r="J27" s="7">
        <v>0.03</v>
      </c>
      <c r="K27" s="164"/>
      <c r="L27" s="164"/>
      <c r="M27" s="164"/>
      <c r="N27" s="164"/>
      <c r="O27" s="169"/>
      <c r="P27" s="373"/>
      <c r="Q27" s="166">
        <f t="shared" si="12"/>
      </c>
      <c r="R27" s="4">
        <f t="shared" si="13"/>
      </c>
      <c r="S27" s="4">
        <f t="shared" si="14"/>
      </c>
      <c r="T27" s="164">
        <f t="shared" si="15"/>
      </c>
      <c r="U27" s="4">
        <f t="shared" si="16"/>
      </c>
      <c r="V27" s="4">
        <f t="shared" si="17"/>
      </c>
      <c r="W27" s="4">
        <f t="shared" si="18"/>
      </c>
      <c r="X27" s="4">
        <f t="shared" si="19"/>
      </c>
      <c r="Y27" s="189">
        <f t="shared" si="20"/>
      </c>
      <c r="Z27" s="191">
        <f t="shared" si="21"/>
      </c>
      <c r="AA27" s="348"/>
    </row>
    <row r="28" spans="1:27" ht="34.5" customHeight="1">
      <c r="A28" s="359"/>
      <c r="B28" s="73" t="s">
        <v>252</v>
      </c>
      <c r="C28" s="287"/>
      <c r="D28" s="352" t="s">
        <v>328</v>
      </c>
      <c r="E28" s="353"/>
      <c r="F28" s="354"/>
      <c r="G28" s="5">
        <v>0.05</v>
      </c>
      <c r="H28" s="5">
        <v>0.05</v>
      </c>
      <c r="I28" s="5">
        <v>0.05</v>
      </c>
      <c r="J28" s="5">
        <v>0.05</v>
      </c>
      <c r="K28" s="164"/>
      <c r="L28" s="164"/>
      <c r="M28" s="164"/>
      <c r="N28" s="164"/>
      <c r="O28" s="169"/>
      <c r="P28" s="373"/>
      <c r="Q28" s="166">
        <f t="shared" si="12"/>
      </c>
      <c r="R28" s="4">
        <f t="shared" si="13"/>
      </c>
      <c r="S28" s="4">
        <f t="shared" si="14"/>
      </c>
      <c r="T28" s="4">
        <f t="shared" si="15"/>
      </c>
      <c r="U28" s="4">
        <f t="shared" si="16"/>
      </c>
      <c r="V28" s="4">
        <f t="shared" si="17"/>
      </c>
      <c r="W28" s="4">
        <f t="shared" si="18"/>
      </c>
      <c r="X28" s="4">
        <f t="shared" si="19"/>
      </c>
      <c r="Y28" s="189">
        <f t="shared" si="20"/>
      </c>
      <c r="Z28" s="191">
        <f t="shared" si="21"/>
      </c>
      <c r="AA28" s="348"/>
    </row>
    <row r="29" spans="1:27" ht="34.5" customHeight="1">
      <c r="A29" s="359"/>
      <c r="B29" s="74" t="s">
        <v>253</v>
      </c>
      <c r="C29" s="287"/>
      <c r="D29" s="352" t="s">
        <v>329</v>
      </c>
      <c r="E29" s="353"/>
      <c r="F29" s="354"/>
      <c r="G29" s="5">
        <v>0.01</v>
      </c>
      <c r="H29" s="5">
        <v>0.01</v>
      </c>
      <c r="I29" s="5">
        <v>0.01</v>
      </c>
      <c r="J29" s="5">
        <v>0.01</v>
      </c>
      <c r="K29" s="5">
        <v>0.01</v>
      </c>
      <c r="L29" s="5">
        <v>0.01</v>
      </c>
      <c r="M29" s="5">
        <v>0.01</v>
      </c>
      <c r="N29" s="5">
        <v>0.01</v>
      </c>
      <c r="O29" s="169"/>
      <c r="P29" s="373"/>
      <c r="Q29" s="166">
        <f t="shared" si="12"/>
      </c>
      <c r="R29" s="4">
        <f t="shared" si="13"/>
      </c>
      <c r="S29" s="4">
        <f t="shared" si="14"/>
      </c>
      <c r="T29" s="4">
        <f t="shared" si="15"/>
      </c>
      <c r="U29" s="4">
        <f t="shared" si="16"/>
      </c>
      <c r="V29" s="4">
        <f t="shared" si="17"/>
      </c>
      <c r="W29" s="4">
        <f t="shared" si="18"/>
      </c>
      <c r="X29" s="4">
        <f t="shared" si="19"/>
      </c>
      <c r="Y29" s="189">
        <f t="shared" si="20"/>
      </c>
      <c r="Z29" s="191">
        <f t="shared" si="21"/>
      </c>
      <c r="AA29" s="348"/>
    </row>
    <row r="30" spans="1:27" ht="19.5" customHeight="1">
      <c r="A30" s="359"/>
      <c r="B30" s="411" t="s">
        <v>254</v>
      </c>
      <c r="C30" s="408"/>
      <c r="D30" s="414" t="s">
        <v>482</v>
      </c>
      <c r="E30" s="18" t="s">
        <v>246</v>
      </c>
      <c r="F30" s="19">
        <v>5000000</v>
      </c>
      <c r="G30" s="5">
        <v>0.03</v>
      </c>
      <c r="H30" s="5">
        <v>0.035</v>
      </c>
      <c r="I30" s="7">
        <v>0.03</v>
      </c>
      <c r="J30" s="7">
        <v>0.03</v>
      </c>
      <c r="K30" s="7">
        <v>0.035</v>
      </c>
      <c r="L30" s="7">
        <v>0.035</v>
      </c>
      <c r="M30" s="7">
        <v>0.03</v>
      </c>
      <c r="N30" s="7">
        <v>0.035</v>
      </c>
      <c r="O30" s="169"/>
      <c r="P30" s="373"/>
      <c r="Q30" s="168"/>
      <c r="R30" s="164"/>
      <c r="S30" s="164"/>
      <c r="T30" s="164"/>
      <c r="U30" s="164"/>
      <c r="V30" s="164"/>
      <c r="W30" s="164"/>
      <c r="X30" s="164"/>
      <c r="Y30" s="164"/>
      <c r="Z30" s="191">
        <f t="shared" si="21"/>
      </c>
      <c r="AA30" s="348"/>
    </row>
    <row r="31" spans="1:27" ht="19.5" customHeight="1">
      <c r="A31" s="359"/>
      <c r="B31" s="412"/>
      <c r="C31" s="409"/>
      <c r="D31" s="415"/>
      <c r="E31" s="18" t="s">
        <v>247</v>
      </c>
      <c r="F31" s="19">
        <v>20000000</v>
      </c>
      <c r="G31" s="5">
        <v>0.015</v>
      </c>
      <c r="H31" s="5">
        <v>0.020000000000000004</v>
      </c>
      <c r="I31" s="5">
        <v>0.015</v>
      </c>
      <c r="J31" s="5">
        <v>0.015</v>
      </c>
      <c r="K31" s="5">
        <v>0.020000000000000004</v>
      </c>
      <c r="L31" s="5">
        <v>0.020000000000000004</v>
      </c>
      <c r="M31" s="5">
        <v>0.015</v>
      </c>
      <c r="N31" s="5">
        <v>0.020000000000000004</v>
      </c>
      <c r="O31" s="169"/>
      <c r="P31" s="373"/>
      <c r="Q31" s="168"/>
      <c r="R31" s="164"/>
      <c r="S31" s="164"/>
      <c r="T31" s="164"/>
      <c r="U31" s="164"/>
      <c r="V31" s="164"/>
      <c r="W31" s="164"/>
      <c r="X31" s="164"/>
      <c r="Y31" s="164"/>
      <c r="Z31" s="191">
        <f t="shared" si="21"/>
      </c>
      <c r="AA31" s="348"/>
    </row>
    <row r="32" spans="1:27" ht="19.5" customHeight="1">
      <c r="A32" s="359"/>
      <c r="B32" s="413"/>
      <c r="C32" s="410"/>
      <c r="D32" s="416"/>
      <c r="E32" s="18" t="s">
        <v>248</v>
      </c>
      <c r="F32" s="18"/>
      <c r="G32" s="5">
        <v>0.005</v>
      </c>
      <c r="H32" s="5">
        <v>0.008</v>
      </c>
      <c r="I32" s="5">
        <v>0.005</v>
      </c>
      <c r="J32" s="5">
        <v>0.005</v>
      </c>
      <c r="K32" s="5">
        <v>0.008</v>
      </c>
      <c r="L32" s="5">
        <v>0.008</v>
      </c>
      <c r="M32" s="5">
        <v>0.005</v>
      </c>
      <c r="N32" s="5">
        <v>0.008</v>
      </c>
      <c r="O32" s="169"/>
      <c r="P32" s="373"/>
      <c r="Q32" s="168"/>
      <c r="R32" s="164"/>
      <c r="S32" s="164"/>
      <c r="T32" s="164"/>
      <c r="U32" s="164"/>
      <c r="V32" s="164"/>
      <c r="W32" s="164"/>
      <c r="X32" s="164"/>
      <c r="Y32" s="164"/>
      <c r="Z32" s="191">
        <f t="shared" si="21"/>
      </c>
      <c r="AA32" s="348"/>
    </row>
    <row r="33" spans="1:27" ht="19.5" customHeight="1">
      <c r="A33" s="359"/>
      <c r="B33" s="411" t="s">
        <v>255</v>
      </c>
      <c r="C33" s="408"/>
      <c r="D33" s="414" t="s">
        <v>483</v>
      </c>
      <c r="E33" s="18" t="s">
        <v>246</v>
      </c>
      <c r="F33" s="19">
        <v>5000000</v>
      </c>
      <c r="G33" s="5">
        <v>0.018</v>
      </c>
      <c r="H33" s="5">
        <v>0.02</v>
      </c>
      <c r="I33" s="5">
        <v>0.018</v>
      </c>
      <c r="J33" s="5">
        <v>0.018</v>
      </c>
      <c r="K33" s="5">
        <v>0.02</v>
      </c>
      <c r="L33" s="5">
        <v>0.02</v>
      </c>
      <c r="M33" s="5">
        <v>0.018</v>
      </c>
      <c r="N33" s="5">
        <v>0.02</v>
      </c>
      <c r="O33" s="169"/>
      <c r="P33" s="373"/>
      <c r="Q33" s="168"/>
      <c r="R33" s="164"/>
      <c r="S33" s="164"/>
      <c r="T33" s="164"/>
      <c r="U33" s="164"/>
      <c r="V33" s="164"/>
      <c r="W33" s="164"/>
      <c r="X33" s="164"/>
      <c r="Y33" s="164"/>
      <c r="Z33" s="191">
        <f t="shared" si="21"/>
      </c>
      <c r="AA33" s="348"/>
    </row>
    <row r="34" spans="1:27" ht="19.5" customHeight="1">
      <c r="A34" s="359"/>
      <c r="B34" s="412"/>
      <c r="C34" s="409"/>
      <c r="D34" s="415"/>
      <c r="E34" s="18" t="s">
        <v>247</v>
      </c>
      <c r="F34" s="19">
        <v>20000000</v>
      </c>
      <c r="G34" s="5">
        <v>0.008</v>
      </c>
      <c r="H34" s="5">
        <v>0.01</v>
      </c>
      <c r="I34" s="5">
        <v>0.008</v>
      </c>
      <c r="J34" s="5">
        <v>0.008</v>
      </c>
      <c r="K34" s="5">
        <v>0.01</v>
      </c>
      <c r="L34" s="5">
        <v>0.01</v>
      </c>
      <c r="M34" s="5">
        <v>0.008</v>
      </c>
      <c r="N34" s="5">
        <v>0.01</v>
      </c>
      <c r="O34" s="169"/>
      <c r="P34" s="373"/>
      <c r="Q34" s="168"/>
      <c r="R34" s="164"/>
      <c r="S34" s="164"/>
      <c r="T34" s="164"/>
      <c r="U34" s="164"/>
      <c r="V34" s="164"/>
      <c r="W34" s="164"/>
      <c r="X34" s="164"/>
      <c r="Y34" s="164"/>
      <c r="Z34" s="191">
        <f t="shared" si="21"/>
      </c>
      <c r="AA34" s="348"/>
    </row>
    <row r="35" spans="1:27" ht="19.5" customHeight="1">
      <c r="A35" s="359"/>
      <c r="B35" s="413"/>
      <c r="C35" s="410"/>
      <c r="D35" s="416"/>
      <c r="E35" s="18" t="s">
        <v>248</v>
      </c>
      <c r="F35" s="18"/>
      <c r="G35" s="5">
        <v>0.004</v>
      </c>
      <c r="H35" s="5">
        <v>0.005</v>
      </c>
      <c r="I35" s="5">
        <v>0.004</v>
      </c>
      <c r="J35" s="5">
        <v>0.004</v>
      </c>
      <c r="K35" s="5">
        <v>0.005</v>
      </c>
      <c r="L35" s="5">
        <v>0.005</v>
      </c>
      <c r="M35" s="5">
        <v>0.004</v>
      </c>
      <c r="N35" s="5">
        <v>0.005</v>
      </c>
      <c r="O35" s="169"/>
      <c r="P35" s="373"/>
      <c r="Q35" s="168"/>
      <c r="R35" s="164"/>
      <c r="S35" s="164"/>
      <c r="T35" s="164"/>
      <c r="U35" s="164"/>
      <c r="V35" s="164"/>
      <c r="W35" s="164"/>
      <c r="X35" s="164"/>
      <c r="Y35" s="164"/>
      <c r="Z35" s="191">
        <f t="shared" si="21"/>
      </c>
      <c r="AA35" s="348"/>
    </row>
    <row r="36" spans="1:27" ht="34.5" customHeight="1">
      <c r="A36" s="359"/>
      <c r="B36" s="74" t="s">
        <v>256</v>
      </c>
      <c r="C36" s="288"/>
      <c r="D36" s="352" t="s">
        <v>330</v>
      </c>
      <c r="E36" s="353"/>
      <c r="F36" s="354"/>
      <c r="G36" s="5">
        <v>0.01</v>
      </c>
      <c r="H36" s="5">
        <v>0.01</v>
      </c>
      <c r="I36" s="5">
        <v>0.01</v>
      </c>
      <c r="J36" s="5">
        <v>0.01</v>
      </c>
      <c r="K36" s="5">
        <v>0.01</v>
      </c>
      <c r="L36" s="5">
        <v>0.01</v>
      </c>
      <c r="M36" s="5">
        <v>0.01</v>
      </c>
      <c r="N36" s="5">
        <v>0.01</v>
      </c>
      <c r="O36" s="169"/>
      <c r="P36" s="373"/>
      <c r="Q36" s="166">
        <f t="shared" si="12"/>
      </c>
      <c r="R36" s="4">
        <f t="shared" si="13"/>
      </c>
      <c r="S36" s="4">
        <f t="shared" si="14"/>
      </c>
      <c r="T36" s="4">
        <f t="shared" si="15"/>
      </c>
      <c r="U36" s="4">
        <f t="shared" si="16"/>
      </c>
      <c r="V36" s="4">
        <f t="shared" si="17"/>
      </c>
      <c r="W36" s="4">
        <f t="shared" si="18"/>
      </c>
      <c r="X36" s="4">
        <f t="shared" si="19"/>
      </c>
      <c r="Y36" s="189">
        <f>IF($C36="SI",O36,"")</f>
      </c>
      <c r="Z36" s="191">
        <f t="shared" si="21"/>
      </c>
      <c r="AA36" s="346"/>
    </row>
    <row r="37" spans="1:27" ht="34.5" customHeight="1" thickBot="1">
      <c r="A37" s="360"/>
      <c r="B37" s="74" t="s">
        <v>257</v>
      </c>
      <c r="C37" s="287"/>
      <c r="D37" s="352" t="s">
        <v>331</v>
      </c>
      <c r="E37" s="353"/>
      <c r="F37" s="354"/>
      <c r="G37" s="5">
        <v>0.06</v>
      </c>
      <c r="H37" s="5">
        <v>0.06</v>
      </c>
      <c r="I37" s="5">
        <v>0.06</v>
      </c>
      <c r="J37" s="5">
        <v>0.06</v>
      </c>
      <c r="K37" s="5">
        <v>0.06</v>
      </c>
      <c r="L37" s="5">
        <v>0.06</v>
      </c>
      <c r="M37" s="5">
        <v>0.06</v>
      </c>
      <c r="N37" s="5">
        <v>0.06</v>
      </c>
      <c r="O37" s="169"/>
      <c r="P37" s="373"/>
      <c r="Q37" s="166">
        <f t="shared" si="12"/>
      </c>
      <c r="R37" s="4">
        <f t="shared" si="13"/>
      </c>
      <c r="S37" s="4">
        <f t="shared" si="14"/>
      </c>
      <c r="T37" s="4">
        <f t="shared" si="15"/>
      </c>
      <c r="U37" s="4">
        <f t="shared" si="16"/>
      </c>
      <c r="V37" s="4">
        <f t="shared" si="17"/>
      </c>
      <c r="W37" s="4">
        <f t="shared" si="18"/>
      </c>
      <c r="X37" s="4">
        <f t="shared" si="19"/>
      </c>
      <c r="Y37" s="189">
        <f>IF($C37="SI",O37,"")</f>
      </c>
      <c r="Z37" s="191">
        <f t="shared" si="21"/>
      </c>
      <c r="AA37" s="200" t="str">
        <f>CONCATENATE(Z14," ",Z15," ",Z16," ",Z17," ",Z18," ",Z19," ",Z20," ",Z21," ",Z22," ",Z23," ",Z25," ",Z26," ",Z27," ",Z28)</f>
        <v>             </v>
      </c>
    </row>
    <row r="38" spans="1:28" ht="34.5" customHeight="1" thickBot="1">
      <c r="A38" s="104"/>
      <c r="B38" s="105"/>
      <c r="C38" s="283"/>
      <c r="D38" s="107" t="s">
        <v>428</v>
      </c>
      <c r="E38" s="365" t="s">
        <v>446</v>
      </c>
      <c r="F38" s="366"/>
      <c r="G38" s="108">
        <f aca="true" t="shared" si="22" ref="G38:N38">SUM(G14:G37)</f>
        <v>0.6000000000000001</v>
      </c>
      <c r="H38" s="108">
        <f t="shared" si="22"/>
        <v>0.6180000000000001</v>
      </c>
      <c r="I38" s="108">
        <f t="shared" si="22"/>
        <v>0.5800000000000001</v>
      </c>
      <c r="J38" s="108">
        <f t="shared" si="22"/>
        <v>0.5800000000000001</v>
      </c>
      <c r="K38" s="108">
        <f t="shared" si="22"/>
        <v>0.5280000000000002</v>
      </c>
      <c r="L38" s="108">
        <f t="shared" si="22"/>
        <v>0.49800000000000016</v>
      </c>
      <c r="M38" s="108">
        <f t="shared" si="22"/>
        <v>0.39000000000000007</v>
      </c>
      <c r="N38" s="108">
        <f t="shared" si="22"/>
        <v>0.5280000000000002</v>
      </c>
      <c r="O38" s="177"/>
      <c r="P38" s="373"/>
      <c r="Q38" s="170">
        <f aca="true" t="shared" si="23" ref="Q38:Y38">SUM(Q14:Q37)</f>
        <v>0</v>
      </c>
      <c r="R38" s="110">
        <f t="shared" si="23"/>
        <v>0</v>
      </c>
      <c r="S38" s="110">
        <f t="shared" si="23"/>
        <v>0</v>
      </c>
      <c r="T38" s="110">
        <f t="shared" si="23"/>
        <v>0</v>
      </c>
      <c r="U38" s="110">
        <f t="shared" si="23"/>
        <v>0</v>
      </c>
      <c r="V38" s="110">
        <f t="shared" si="23"/>
        <v>0</v>
      </c>
      <c r="W38" s="110">
        <f t="shared" si="23"/>
        <v>0</v>
      </c>
      <c r="X38" s="110">
        <f t="shared" si="23"/>
        <v>0</v>
      </c>
      <c r="Y38" s="197">
        <f t="shared" si="23"/>
        <v>0</v>
      </c>
      <c r="Z38" s="204">
        <f>SUM(Q38:Y38)</f>
        <v>0</v>
      </c>
      <c r="AA38" s="195" t="str">
        <f>CONCATENATE(Z29," ",Z30," ",Z31," ",Z32," ",Z33," ",Z34," ",Z35," ",Z36," ",Z37)</f>
        <v>        </v>
      </c>
      <c r="AB38" s="186"/>
    </row>
    <row r="39" spans="1:27" ht="34.5" customHeight="1">
      <c r="A39" s="390" t="s">
        <v>332</v>
      </c>
      <c r="B39" s="112" t="s">
        <v>258</v>
      </c>
      <c r="C39" s="56"/>
      <c r="D39" s="362" t="s">
        <v>515</v>
      </c>
      <c r="E39" s="363"/>
      <c r="F39" s="364"/>
      <c r="G39" s="87">
        <v>0.23</v>
      </c>
      <c r="H39" s="87">
        <v>0.18</v>
      </c>
      <c r="I39" s="87">
        <v>0.16</v>
      </c>
      <c r="J39" s="113">
        <v>0.2</v>
      </c>
      <c r="K39" s="87">
        <v>0.22</v>
      </c>
      <c r="L39" s="87">
        <v>0.18</v>
      </c>
      <c r="M39" s="87">
        <v>0.25</v>
      </c>
      <c r="N39" s="87">
        <v>0.18</v>
      </c>
      <c r="O39" s="176"/>
      <c r="P39" s="373"/>
      <c r="Q39" s="165">
        <f aca="true" t="shared" si="24" ref="Q39:Q69">IF($C39="SI",G39,"")</f>
      </c>
      <c r="R39" s="109">
        <f aca="true" t="shared" si="25" ref="R39:R69">IF($C39="SI",H39,"")</f>
      </c>
      <c r="S39" s="109">
        <f aca="true" t="shared" si="26" ref="S39:S69">IF($C39="SI",I39,"")</f>
      </c>
      <c r="T39" s="109">
        <f aca="true" t="shared" si="27" ref="T39:T69">IF($C39="SI",J39,"")</f>
      </c>
      <c r="U39" s="109">
        <f aca="true" t="shared" si="28" ref="U39:U69">IF($C39="SI",K39,"")</f>
      </c>
      <c r="V39" s="109">
        <f aca="true" t="shared" si="29" ref="V39:V69">IF($C39="SI",L39,"")</f>
      </c>
      <c r="W39" s="109">
        <f aca="true" t="shared" si="30" ref="W39:W69">IF($C39="SI",M39,"")</f>
      </c>
      <c r="X39" s="109">
        <f aca="true" t="shared" si="31" ref="X39:X69">IF($C39="SI",N39,"")</f>
      </c>
      <c r="Y39" s="185">
        <f aca="true" t="shared" si="32" ref="Y39:Y61">IF($C39="SI",O39,"")</f>
      </c>
      <c r="Z39" s="190">
        <f>IF($C39="SI",B39,"")</f>
      </c>
      <c r="AA39" s="335" t="s">
        <v>508</v>
      </c>
    </row>
    <row r="40" spans="1:27" ht="34.5" customHeight="1">
      <c r="A40" s="391"/>
      <c r="B40" s="78" t="s">
        <v>259</v>
      </c>
      <c r="C40" s="56"/>
      <c r="D40" s="352" t="s">
        <v>333</v>
      </c>
      <c r="E40" s="353"/>
      <c r="F40" s="354"/>
      <c r="G40" s="7">
        <v>0.04</v>
      </c>
      <c r="H40" s="7">
        <v>0.04</v>
      </c>
      <c r="I40" s="7">
        <v>0.04</v>
      </c>
      <c r="J40" s="7">
        <v>0.04</v>
      </c>
      <c r="K40" s="164"/>
      <c r="L40" s="164"/>
      <c r="M40" s="164"/>
      <c r="N40" s="164"/>
      <c r="O40" s="169"/>
      <c r="P40" s="373"/>
      <c r="Q40" s="166">
        <f t="shared" si="24"/>
      </c>
      <c r="R40" s="4">
        <f t="shared" si="25"/>
      </c>
      <c r="S40" s="4">
        <f t="shared" si="26"/>
      </c>
      <c r="T40" s="4">
        <f t="shared" si="27"/>
      </c>
      <c r="U40" s="4">
        <f t="shared" si="28"/>
      </c>
      <c r="V40" s="4">
        <f t="shared" si="29"/>
      </c>
      <c r="W40" s="4">
        <f t="shared" si="30"/>
      </c>
      <c r="X40" s="4">
        <f t="shared" si="31"/>
      </c>
      <c r="Y40" s="189">
        <f t="shared" si="32"/>
      </c>
      <c r="Z40" s="191">
        <f aca="true" t="shared" si="33" ref="Z40:Z69">IF($C40="SI",B40,"")</f>
      </c>
      <c r="AA40" s="336"/>
    </row>
    <row r="41" spans="1:27" ht="34.5" customHeight="1">
      <c r="A41" s="391"/>
      <c r="B41" s="77" t="s">
        <v>260</v>
      </c>
      <c r="C41" s="56"/>
      <c r="D41" s="352" t="s">
        <v>334</v>
      </c>
      <c r="E41" s="353"/>
      <c r="F41" s="354"/>
      <c r="G41" s="7">
        <v>0.01</v>
      </c>
      <c r="H41" s="7">
        <v>0.01</v>
      </c>
      <c r="I41" s="7">
        <v>0.01</v>
      </c>
      <c r="J41" s="7">
        <v>0.01</v>
      </c>
      <c r="K41" s="7">
        <v>0.01</v>
      </c>
      <c r="L41" s="7">
        <v>0.01</v>
      </c>
      <c r="M41" s="7">
        <v>0.01</v>
      </c>
      <c r="N41" s="7">
        <v>0.01</v>
      </c>
      <c r="O41" s="169"/>
      <c r="P41" s="373"/>
      <c r="Q41" s="166">
        <f t="shared" si="24"/>
      </c>
      <c r="R41" s="4">
        <f t="shared" si="25"/>
      </c>
      <c r="S41" s="4">
        <f t="shared" si="26"/>
      </c>
      <c r="T41" s="4">
        <f t="shared" si="27"/>
      </c>
      <c r="U41" s="4">
        <f t="shared" si="28"/>
      </c>
      <c r="V41" s="4">
        <f t="shared" si="29"/>
      </c>
      <c r="W41" s="4">
        <f t="shared" si="30"/>
      </c>
      <c r="X41" s="4">
        <f t="shared" si="31"/>
      </c>
      <c r="Y41" s="189">
        <f t="shared" si="32"/>
      </c>
      <c r="Z41" s="191">
        <f t="shared" si="33"/>
      </c>
      <c r="AA41" s="336"/>
    </row>
    <row r="42" spans="1:27" ht="34.5" customHeight="1">
      <c r="A42" s="391"/>
      <c r="B42" s="78" t="s">
        <v>261</v>
      </c>
      <c r="C42" s="56"/>
      <c r="D42" s="352" t="s">
        <v>335</v>
      </c>
      <c r="E42" s="353"/>
      <c r="F42" s="354"/>
      <c r="G42" s="7">
        <v>0.04</v>
      </c>
      <c r="H42" s="7">
        <v>0.04</v>
      </c>
      <c r="I42" s="7">
        <v>0.04</v>
      </c>
      <c r="J42" s="7">
        <v>0.04</v>
      </c>
      <c r="K42" s="7">
        <v>0.04</v>
      </c>
      <c r="L42" s="7">
        <v>0.04</v>
      </c>
      <c r="M42" s="164"/>
      <c r="N42" s="7">
        <v>0.04</v>
      </c>
      <c r="O42" s="169"/>
      <c r="P42" s="373"/>
      <c r="Q42" s="166">
        <f t="shared" si="24"/>
      </c>
      <c r="R42" s="4">
        <f t="shared" si="25"/>
      </c>
      <c r="S42" s="4">
        <f t="shared" si="26"/>
      </c>
      <c r="T42" s="4">
        <f t="shared" si="27"/>
      </c>
      <c r="U42" s="4">
        <f t="shared" si="28"/>
      </c>
      <c r="V42" s="4">
        <f t="shared" si="29"/>
      </c>
      <c r="W42" s="4">
        <f t="shared" si="30"/>
      </c>
      <c r="X42" s="4">
        <f t="shared" si="31"/>
      </c>
      <c r="Y42" s="189">
        <f t="shared" si="32"/>
      </c>
      <c r="Z42" s="191">
        <f t="shared" si="33"/>
      </c>
      <c r="AA42" s="336"/>
    </row>
    <row r="43" spans="1:27" ht="34.5" customHeight="1">
      <c r="A43" s="391"/>
      <c r="B43" s="77" t="s">
        <v>262</v>
      </c>
      <c r="C43" s="56"/>
      <c r="D43" s="352" t="s">
        <v>336</v>
      </c>
      <c r="E43" s="353"/>
      <c r="F43" s="354"/>
      <c r="G43" s="7">
        <v>0.07</v>
      </c>
      <c r="H43" s="7">
        <v>0.04</v>
      </c>
      <c r="I43" s="7">
        <v>0.07</v>
      </c>
      <c r="J43" s="7">
        <v>0.07</v>
      </c>
      <c r="K43" s="7">
        <v>0.06</v>
      </c>
      <c r="L43" s="7">
        <v>0.05</v>
      </c>
      <c r="M43" s="7">
        <v>0.05</v>
      </c>
      <c r="N43" s="7">
        <v>0.05</v>
      </c>
      <c r="O43" s="169"/>
      <c r="P43" s="373"/>
      <c r="Q43" s="166">
        <f t="shared" si="24"/>
      </c>
      <c r="R43" s="4">
        <f t="shared" si="25"/>
      </c>
      <c r="S43" s="4">
        <f t="shared" si="26"/>
      </c>
      <c r="T43" s="4">
        <f t="shared" si="27"/>
      </c>
      <c r="U43" s="4">
        <f t="shared" si="28"/>
      </c>
      <c r="V43" s="4">
        <f t="shared" si="29"/>
      </c>
      <c r="W43" s="4">
        <f t="shared" si="30"/>
      </c>
      <c r="X43" s="4">
        <f t="shared" si="31"/>
      </c>
      <c r="Y43" s="189">
        <f t="shared" si="32"/>
      </c>
      <c r="Z43" s="191">
        <f t="shared" si="33"/>
      </c>
      <c r="AA43" s="336"/>
    </row>
    <row r="44" spans="1:27" ht="34.5" customHeight="1">
      <c r="A44" s="391"/>
      <c r="B44" s="78" t="s">
        <v>263</v>
      </c>
      <c r="C44" s="56"/>
      <c r="D44" s="355" t="s">
        <v>326</v>
      </c>
      <c r="E44" s="356"/>
      <c r="F44" s="357"/>
      <c r="G44" s="7">
        <v>0.03</v>
      </c>
      <c r="H44" s="7">
        <v>0.03</v>
      </c>
      <c r="I44" s="7">
        <v>0.01</v>
      </c>
      <c r="J44" s="7">
        <v>0.01</v>
      </c>
      <c r="K44" s="7">
        <v>0.03</v>
      </c>
      <c r="L44" s="7">
        <v>0.01</v>
      </c>
      <c r="M44" s="164"/>
      <c r="N44" s="7">
        <v>0.03</v>
      </c>
      <c r="O44" s="169"/>
      <c r="P44" s="373"/>
      <c r="Q44" s="166">
        <f t="shared" si="24"/>
      </c>
      <c r="R44" s="4">
        <f t="shared" si="25"/>
      </c>
      <c r="S44" s="4">
        <f t="shared" si="26"/>
      </c>
      <c r="T44" s="4">
        <f t="shared" si="27"/>
      </c>
      <c r="U44" s="4">
        <f t="shared" si="28"/>
      </c>
      <c r="V44" s="4">
        <f t="shared" si="29"/>
      </c>
      <c r="W44" s="4">
        <f t="shared" si="30"/>
      </c>
      <c r="X44" s="4">
        <f t="shared" si="31"/>
      </c>
      <c r="Y44" s="189">
        <f t="shared" si="32"/>
      </c>
      <c r="Z44" s="191">
        <f t="shared" si="33"/>
      </c>
      <c r="AA44" s="336"/>
    </row>
    <row r="45" spans="1:27" ht="34.5" customHeight="1">
      <c r="A45" s="391"/>
      <c r="B45" s="77" t="s">
        <v>264</v>
      </c>
      <c r="C45" s="56"/>
      <c r="D45" s="355" t="s">
        <v>337</v>
      </c>
      <c r="E45" s="356"/>
      <c r="F45" s="357"/>
      <c r="G45" s="7">
        <v>0.02</v>
      </c>
      <c r="H45" s="7">
        <v>0.02</v>
      </c>
      <c r="I45" s="7">
        <v>0.02</v>
      </c>
      <c r="J45" s="7">
        <v>0.02</v>
      </c>
      <c r="K45" s="7">
        <v>0.02</v>
      </c>
      <c r="L45" s="7">
        <v>0.02</v>
      </c>
      <c r="M45" s="7">
        <v>0.02</v>
      </c>
      <c r="N45" s="7">
        <v>0.02</v>
      </c>
      <c r="O45" s="169"/>
      <c r="P45" s="373"/>
      <c r="Q45" s="166">
        <f t="shared" si="24"/>
      </c>
      <c r="R45" s="4">
        <f t="shared" si="25"/>
      </c>
      <c r="S45" s="4">
        <f t="shared" si="26"/>
      </c>
      <c r="T45" s="4">
        <f t="shared" si="27"/>
      </c>
      <c r="U45" s="4">
        <f t="shared" si="28"/>
      </c>
      <c r="V45" s="4">
        <f t="shared" si="29"/>
      </c>
      <c r="W45" s="4">
        <f t="shared" si="30"/>
      </c>
      <c r="X45" s="4">
        <f t="shared" si="31"/>
      </c>
      <c r="Y45" s="189">
        <f t="shared" si="32"/>
      </c>
      <c r="Z45" s="191">
        <f t="shared" si="33"/>
      </c>
      <c r="AA45" s="336"/>
    </row>
    <row r="46" spans="1:27" ht="34.5" customHeight="1">
      <c r="A46" s="391"/>
      <c r="B46" s="78" t="s">
        <v>265</v>
      </c>
      <c r="C46" s="56"/>
      <c r="D46" s="355" t="s">
        <v>338</v>
      </c>
      <c r="E46" s="356"/>
      <c r="F46" s="357"/>
      <c r="G46" s="7">
        <v>0.07</v>
      </c>
      <c r="H46" s="7">
        <v>0.07</v>
      </c>
      <c r="I46" s="7">
        <v>0.08</v>
      </c>
      <c r="J46" s="7">
        <v>0.08</v>
      </c>
      <c r="K46" s="7">
        <v>0.07</v>
      </c>
      <c r="L46" s="7">
        <v>0.07</v>
      </c>
      <c r="M46" s="7">
        <v>0.07</v>
      </c>
      <c r="N46" s="7">
        <v>0.07</v>
      </c>
      <c r="O46" s="169"/>
      <c r="P46" s="373"/>
      <c r="Q46" s="166">
        <f t="shared" si="24"/>
      </c>
      <c r="R46" s="4">
        <f t="shared" si="25"/>
      </c>
      <c r="S46" s="4">
        <f t="shared" si="26"/>
      </c>
      <c r="T46" s="4">
        <f t="shared" si="27"/>
      </c>
      <c r="U46" s="4">
        <f t="shared" si="28"/>
      </c>
      <c r="V46" s="4">
        <f t="shared" si="29"/>
      </c>
      <c r="W46" s="4">
        <f t="shared" si="30"/>
      </c>
      <c r="X46" s="4">
        <f t="shared" si="31"/>
      </c>
      <c r="Y46" s="189">
        <f t="shared" si="32"/>
      </c>
      <c r="Z46" s="191">
        <f t="shared" si="33"/>
      </c>
      <c r="AA46" s="336"/>
    </row>
    <row r="47" spans="1:27" ht="34.5" customHeight="1">
      <c r="A47" s="391"/>
      <c r="B47" s="77" t="s">
        <v>266</v>
      </c>
      <c r="C47" s="56"/>
      <c r="D47" s="352" t="s">
        <v>339</v>
      </c>
      <c r="E47" s="353"/>
      <c r="F47" s="354"/>
      <c r="G47" s="7">
        <v>0.06</v>
      </c>
      <c r="H47" s="7">
        <v>0.06</v>
      </c>
      <c r="I47" s="7">
        <v>0.06</v>
      </c>
      <c r="J47" s="7">
        <v>0.06</v>
      </c>
      <c r="K47" s="7">
        <v>0.06</v>
      </c>
      <c r="L47" s="7">
        <v>0.06</v>
      </c>
      <c r="M47" s="164"/>
      <c r="N47" s="7">
        <v>0.06</v>
      </c>
      <c r="O47" s="169"/>
      <c r="P47" s="373"/>
      <c r="Q47" s="166">
        <f t="shared" si="24"/>
      </c>
      <c r="R47" s="4">
        <f t="shared" si="25"/>
      </c>
      <c r="S47" s="4">
        <f t="shared" si="26"/>
      </c>
      <c r="T47" s="4">
        <f t="shared" si="27"/>
      </c>
      <c r="U47" s="4">
        <f t="shared" si="28"/>
      </c>
      <c r="V47" s="4">
        <f t="shared" si="29"/>
      </c>
      <c r="W47" s="4">
        <f t="shared" si="30"/>
      </c>
      <c r="X47" s="4">
        <f t="shared" si="31"/>
      </c>
      <c r="Y47" s="189">
        <f t="shared" si="32"/>
      </c>
      <c r="Z47" s="191">
        <f t="shared" si="33"/>
      </c>
      <c r="AA47" s="336"/>
    </row>
    <row r="48" spans="1:27" ht="34.5" customHeight="1">
      <c r="A48" s="391"/>
      <c r="B48" s="78" t="s">
        <v>267</v>
      </c>
      <c r="C48" s="56"/>
      <c r="D48" s="355" t="s">
        <v>340</v>
      </c>
      <c r="E48" s="356"/>
      <c r="F48" s="357"/>
      <c r="G48" s="7">
        <v>0.03</v>
      </c>
      <c r="H48" s="7">
        <v>0.03</v>
      </c>
      <c r="I48" s="7">
        <v>0.03</v>
      </c>
      <c r="J48" s="7">
        <v>0.03</v>
      </c>
      <c r="K48" s="7">
        <v>0.03</v>
      </c>
      <c r="L48" s="7">
        <v>0.03</v>
      </c>
      <c r="M48" s="164"/>
      <c r="N48" s="7">
        <v>0.03</v>
      </c>
      <c r="O48" s="169"/>
      <c r="P48" s="373"/>
      <c r="Q48" s="166">
        <f t="shared" si="24"/>
      </c>
      <c r="R48" s="4">
        <f t="shared" si="25"/>
      </c>
      <c r="S48" s="4">
        <f t="shared" si="26"/>
      </c>
      <c r="T48" s="4">
        <f t="shared" si="27"/>
      </c>
      <c r="U48" s="4">
        <f t="shared" si="28"/>
      </c>
      <c r="V48" s="4">
        <f t="shared" si="29"/>
      </c>
      <c r="W48" s="4">
        <f t="shared" si="30"/>
      </c>
      <c r="X48" s="4">
        <f t="shared" si="31"/>
      </c>
      <c r="Y48" s="189">
        <f t="shared" si="32"/>
      </c>
      <c r="Z48" s="191">
        <f t="shared" si="33"/>
      </c>
      <c r="AA48" s="336"/>
    </row>
    <row r="49" spans="1:27" ht="34.5" customHeight="1">
      <c r="A49" s="391"/>
      <c r="B49" s="78" t="s">
        <v>268</v>
      </c>
      <c r="C49" s="56"/>
      <c r="D49" s="355" t="s">
        <v>516</v>
      </c>
      <c r="E49" s="356"/>
      <c r="F49" s="357"/>
      <c r="G49" s="7">
        <v>0.03</v>
      </c>
      <c r="H49" s="7">
        <v>0.03</v>
      </c>
      <c r="I49" s="7">
        <v>0.03</v>
      </c>
      <c r="J49" s="7">
        <v>0.03</v>
      </c>
      <c r="K49" s="7">
        <v>0.03</v>
      </c>
      <c r="L49" s="7">
        <v>0.03</v>
      </c>
      <c r="M49" s="164"/>
      <c r="N49" s="7">
        <v>0.03</v>
      </c>
      <c r="O49" s="169"/>
      <c r="P49" s="373"/>
      <c r="Q49" s="166">
        <f t="shared" si="24"/>
      </c>
      <c r="R49" s="4">
        <f t="shared" si="25"/>
      </c>
      <c r="S49" s="4">
        <f t="shared" si="26"/>
      </c>
      <c r="T49" s="4">
        <f t="shared" si="27"/>
      </c>
      <c r="U49" s="4">
        <f t="shared" si="28"/>
      </c>
      <c r="V49" s="4">
        <f t="shared" si="29"/>
      </c>
      <c r="W49" s="4">
        <f t="shared" si="30"/>
      </c>
      <c r="X49" s="4">
        <f t="shared" si="31"/>
      </c>
      <c r="Y49" s="189">
        <f t="shared" si="32"/>
      </c>
      <c r="Z49" s="191">
        <f t="shared" si="33"/>
      </c>
      <c r="AA49" s="336"/>
    </row>
    <row r="50" spans="1:27" ht="34.5" customHeight="1">
      <c r="A50" s="391"/>
      <c r="B50" s="77" t="s">
        <v>269</v>
      </c>
      <c r="C50" s="56"/>
      <c r="D50" s="355" t="s">
        <v>341</v>
      </c>
      <c r="E50" s="356"/>
      <c r="F50" s="357"/>
      <c r="G50" s="7">
        <v>0.03</v>
      </c>
      <c r="H50" s="7">
        <v>0.03</v>
      </c>
      <c r="I50" s="7">
        <v>0.03</v>
      </c>
      <c r="J50" s="7">
        <v>0.03</v>
      </c>
      <c r="K50" s="7">
        <v>0.03</v>
      </c>
      <c r="L50" s="7">
        <v>0.03</v>
      </c>
      <c r="M50" s="164"/>
      <c r="N50" s="7">
        <v>0.03</v>
      </c>
      <c r="O50" s="169"/>
      <c r="P50" s="373"/>
      <c r="Q50" s="166">
        <f t="shared" si="24"/>
      </c>
      <c r="R50" s="4">
        <f t="shared" si="25"/>
      </c>
      <c r="S50" s="4">
        <f t="shared" si="26"/>
      </c>
      <c r="T50" s="4">
        <f t="shared" si="27"/>
      </c>
      <c r="U50" s="4">
        <f t="shared" si="28"/>
      </c>
      <c r="V50" s="4">
        <f t="shared" si="29"/>
      </c>
      <c r="W50" s="4">
        <f t="shared" si="30"/>
      </c>
      <c r="X50" s="4">
        <f t="shared" si="31"/>
      </c>
      <c r="Y50" s="189">
        <f t="shared" si="32"/>
      </c>
      <c r="Z50" s="191">
        <f t="shared" si="33"/>
      </c>
      <c r="AA50" s="336"/>
    </row>
    <row r="51" spans="1:27" ht="19.5" customHeight="1">
      <c r="A51" s="391"/>
      <c r="B51" s="76" t="s">
        <v>270</v>
      </c>
      <c r="C51" s="54"/>
      <c r="D51" s="352" t="s">
        <v>486</v>
      </c>
      <c r="E51" s="353"/>
      <c r="F51" s="354"/>
      <c r="G51" s="52">
        <v>0</v>
      </c>
      <c r="H51" s="52">
        <v>0</v>
      </c>
      <c r="I51" s="52">
        <v>0</v>
      </c>
      <c r="J51" s="52">
        <v>0</v>
      </c>
      <c r="K51" s="52">
        <v>0</v>
      </c>
      <c r="L51" s="52">
        <v>0</v>
      </c>
      <c r="M51" s="164"/>
      <c r="N51" s="52">
        <v>0</v>
      </c>
      <c r="O51" s="169"/>
      <c r="P51" s="373"/>
      <c r="Q51" s="166">
        <f t="shared" si="24"/>
      </c>
      <c r="R51" s="4">
        <f t="shared" si="25"/>
      </c>
      <c r="S51" s="4">
        <f t="shared" si="26"/>
      </c>
      <c r="T51" s="4">
        <f t="shared" si="27"/>
      </c>
      <c r="U51" s="4">
        <f t="shared" si="28"/>
      </c>
      <c r="V51" s="4">
        <f t="shared" si="29"/>
      </c>
      <c r="W51" s="4">
        <f t="shared" si="30"/>
      </c>
      <c r="X51" s="4">
        <f t="shared" si="31"/>
      </c>
      <c r="Y51" s="189">
        <f t="shared" si="32"/>
      </c>
      <c r="Z51" s="199">
        <f t="shared" si="33"/>
      </c>
      <c r="AA51" s="336"/>
    </row>
    <row r="52" spans="1:27" ht="34.5" customHeight="1">
      <c r="A52" s="391"/>
      <c r="B52" s="77" t="s">
        <v>271</v>
      </c>
      <c r="C52" s="56"/>
      <c r="D52" s="352" t="s">
        <v>342</v>
      </c>
      <c r="E52" s="353"/>
      <c r="F52" s="354"/>
      <c r="G52" s="164"/>
      <c r="H52" s="7">
        <v>0.09</v>
      </c>
      <c r="I52" s="164"/>
      <c r="J52" s="164"/>
      <c r="K52" s="164"/>
      <c r="L52" s="164"/>
      <c r="M52" s="164"/>
      <c r="N52" s="164"/>
      <c r="O52" s="169"/>
      <c r="P52" s="373"/>
      <c r="Q52" s="166">
        <f t="shared" si="24"/>
      </c>
      <c r="R52" s="4">
        <f t="shared" si="25"/>
      </c>
      <c r="S52" s="4">
        <f t="shared" si="26"/>
      </c>
      <c r="T52" s="4">
        <f t="shared" si="27"/>
      </c>
      <c r="U52" s="4">
        <f t="shared" si="28"/>
      </c>
      <c r="V52" s="4">
        <f t="shared" si="29"/>
      </c>
      <c r="W52" s="4">
        <f t="shared" si="30"/>
      </c>
      <c r="X52" s="4">
        <f t="shared" si="31"/>
      </c>
      <c r="Y52" s="189">
        <f t="shared" si="32"/>
      </c>
      <c r="Z52" s="191">
        <f t="shared" si="33"/>
      </c>
      <c r="AA52" s="336"/>
    </row>
    <row r="53" spans="1:27" ht="34.5" customHeight="1">
      <c r="A53" s="391"/>
      <c r="B53" s="78" t="s">
        <v>272</v>
      </c>
      <c r="C53" s="56"/>
      <c r="D53" s="352" t="s">
        <v>343</v>
      </c>
      <c r="E53" s="353"/>
      <c r="F53" s="354"/>
      <c r="G53" s="164"/>
      <c r="H53" s="7">
        <v>0.12</v>
      </c>
      <c r="I53" s="164"/>
      <c r="J53" s="164"/>
      <c r="K53" s="164"/>
      <c r="L53" s="164"/>
      <c r="M53" s="164"/>
      <c r="N53" s="164"/>
      <c r="O53" s="169"/>
      <c r="P53" s="373"/>
      <c r="Q53" s="166">
        <f t="shared" si="24"/>
      </c>
      <c r="R53" s="4">
        <f t="shared" si="25"/>
      </c>
      <c r="S53" s="4">
        <f t="shared" si="26"/>
      </c>
      <c r="T53" s="4">
        <f t="shared" si="27"/>
      </c>
      <c r="U53" s="4">
        <f t="shared" si="28"/>
      </c>
      <c r="V53" s="4">
        <f t="shared" si="29"/>
      </c>
      <c r="W53" s="4">
        <f t="shared" si="30"/>
      </c>
      <c r="X53" s="4">
        <f t="shared" si="31"/>
      </c>
      <c r="Y53" s="189">
        <f t="shared" si="32"/>
      </c>
      <c r="Z53" s="191">
        <f t="shared" si="33"/>
      </c>
      <c r="AA53" s="336"/>
    </row>
    <row r="54" spans="1:27" ht="34.5" customHeight="1">
      <c r="A54" s="391"/>
      <c r="B54" s="77" t="s">
        <v>273</v>
      </c>
      <c r="C54" s="56"/>
      <c r="D54" s="352" t="s">
        <v>344</v>
      </c>
      <c r="E54" s="353"/>
      <c r="F54" s="354"/>
      <c r="G54" s="164"/>
      <c r="H54" s="7">
        <v>0.18</v>
      </c>
      <c r="I54" s="164"/>
      <c r="J54" s="164"/>
      <c r="K54" s="164"/>
      <c r="L54" s="164"/>
      <c r="M54" s="164"/>
      <c r="N54" s="164"/>
      <c r="O54" s="169"/>
      <c r="P54" s="373"/>
      <c r="Q54" s="166">
        <f t="shared" si="24"/>
      </c>
      <c r="R54" s="4">
        <f t="shared" si="25"/>
      </c>
      <c r="S54" s="4">
        <f t="shared" si="26"/>
      </c>
      <c r="T54" s="4">
        <f t="shared" si="27"/>
      </c>
      <c r="U54" s="4">
        <f t="shared" si="28"/>
      </c>
      <c r="V54" s="4">
        <f t="shared" si="29"/>
      </c>
      <c r="W54" s="4">
        <f t="shared" si="30"/>
      </c>
      <c r="X54" s="4">
        <f t="shared" si="31"/>
      </c>
      <c r="Y54" s="189">
        <f t="shared" si="32"/>
      </c>
      <c r="Z54" s="191">
        <f t="shared" si="33"/>
      </c>
      <c r="AA54" s="336"/>
    </row>
    <row r="55" spans="1:27" ht="34.5" customHeight="1">
      <c r="A55" s="391"/>
      <c r="B55" s="78" t="s">
        <v>274</v>
      </c>
      <c r="C55" s="56"/>
      <c r="D55" s="352" t="s">
        <v>345</v>
      </c>
      <c r="E55" s="353"/>
      <c r="F55" s="354"/>
      <c r="G55" s="5">
        <v>0.05</v>
      </c>
      <c r="H55" s="5">
        <v>0.05</v>
      </c>
      <c r="I55" s="5">
        <v>0.05</v>
      </c>
      <c r="J55" s="5">
        <v>0.05</v>
      </c>
      <c r="K55" s="5">
        <v>0.05</v>
      </c>
      <c r="L55" s="5">
        <v>0.05</v>
      </c>
      <c r="M55" s="5">
        <v>0.05</v>
      </c>
      <c r="N55" s="5">
        <v>0.05</v>
      </c>
      <c r="O55" s="169"/>
      <c r="P55" s="373"/>
      <c r="Q55" s="166">
        <f t="shared" si="24"/>
      </c>
      <c r="R55" s="4">
        <f t="shared" si="25"/>
      </c>
      <c r="S55" s="4">
        <f t="shared" si="26"/>
      </c>
      <c r="T55" s="4">
        <f t="shared" si="27"/>
      </c>
      <c r="U55" s="4">
        <f t="shared" si="28"/>
      </c>
      <c r="V55" s="4">
        <f t="shared" si="29"/>
      </c>
      <c r="W55" s="4">
        <f t="shared" si="30"/>
      </c>
      <c r="X55" s="4">
        <f t="shared" si="31"/>
      </c>
      <c r="Y55" s="189">
        <f t="shared" si="32"/>
      </c>
      <c r="Z55" s="191">
        <f t="shared" si="33"/>
      </c>
      <c r="AA55" s="336"/>
    </row>
    <row r="56" spans="1:27" ht="34.5" customHeight="1">
      <c r="A56" s="391"/>
      <c r="B56" s="77" t="s">
        <v>275</v>
      </c>
      <c r="C56" s="56"/>
      <c r="D56" s="352" t="s">
        <v>346</v>
      </c>
      <c r="E56" s="353"/>
      <c r="F56" s="354"/>
      <c r="G56" s="5">
        <v>0.06</v>
      </c>
      <c r="H56" s="5">
        <v>0.06</v>
      </c>
      <c r="I56" s="5">
        <v>0.06</v>
      </c>
      <c r="J56" s="5">
        <v>0.06</v>
      </c>
      <c r="K56" s="164"/>
      <c r="L56" s="164"/>
      <c r="M56" s="164"/>
      <c r="N56" s="164"/>
      <c r="O56" s="169"/>
      <c r="P56" s="373"/>
      <c r="Q56" s="166">
        <f t="shared" si="24"/>
      </c>
      <c r="R56" s="4">
        <f t="shared" si="25"/>
      </c>
      <c r="S56" s="4">
        <f t="shared" si="26"/>
      </c>
      <c r="T56" s="4">
        <f t="shared" si="27"/>
      </c>
      <c r="U56" s="4">
        <f t="shared" si="28"/>
      </c>
      <c r="V56" s="4">
        <f t="shared" si="29"/>
      </c>
      <c r="W56" s="4">
        <f t="shared" si="30"/>
      </c>
      <c r="X56" s="4">
        <f t="shared" si="31"/>
      </c>
      <c r="Y56" s="189">
        <f t="shared" si="32"/>
      </c>
      <c r="Z56" s="191">
        <f t="shared" si="33"/>
      </c>
      <c r="AA56" s="336"/>
    </row>
    <row r="57" spans="1:27" ht="34.5" customHeight="1">
      <c r="A57" s="391"/>
      <c r="B57" s="77" t="s">
        <v>276</v>
      </c>
      <c r="C57" s="56"/>
      <c r="D57" s="352" t="s">
        <v>347</v>
      </c>
      <c r="E57" s="353"/>
      <c r="F57" s="354"/>
      <c r="G57" s="7">
        <v>0.02</v>
      </c>
      <c r="H57" s="7">
        <v>0.02</v>
      </c>
      <c r="I57" s="7">
        <v>0.02</v>
      </c>
      <c r="J57" s="7">
        <v>0.02</v>
      </c>
      <c r="K57" s="7">
        <v>0.02</v>
      </c>
      <c r="L57" s="7">
        <v>0.02</v>
      </c>
      <c r="M57" s="7">
        <v>0.02</v>
      </c>
      <c r="N57" s="7">
        <v>0.02</v>
      </c>
      <c r="O57" s="169"/>
      <c r="P57" s="373"/>
      <c r="Q57" s="166">
        <f t="shared" si="24"/>
      </c>
      <c r="R57" s="4">
        <f t="shared" si="25"/>
      </c>
      <c r="S57" s="4">
        <f t="shared" si="26"/>
      </c>
      <c r="T57" s="4">
        <f t="shared" si="27"/>
      </c>
      <c r="U57" s="4">
        <f t="shared" si="28"/>
      </c>
      <c r="V57" s="4">
        <f t="shared" si="29"/>
      </c>
      <c r="W57" s="4">
        <f t="shared" si="30"/>
      </c>
      <c r="X57" s="4">
        <f t="shared" si="31"/>
      </c>
      <c r="Y57" s="189">
        <f t="shared" si="32"/>
      </c>
      <c r="Z57" s="191">
        <f t="shared" si="33"/>
      </c>
      <c r="AA57" s="336"/>
    </row>
    <row r="58" spans="1:27" ht="34.5" customHeight="1">
      <c r="A58" s="391"/>
      <c r="B58" s="78" t="s">
        <v>277</v>
      </c>
      <c r="C58" s="56"/>
      <c r="D58" s="352" t="s">
        <v>348</v>
      </c>
      <c r="E58" s="353"/>
      <c r="F58" s="354"/>
      <c r="G58" s="7">
        <v>0.02</v>
      </c>
      <c r="H58" s="7">
        <v>0.02</v>
      </c>
      <c r="I58" s="7">
        <v>0.02</v>
      </c>
      <c r="J58" s="7">
        <v>0.02</v>
      </c>
      <c r="K58" s="7">
        <v>0.02</v>
      </c>
      <c r="L58" s="164"/>
      <c r="M58" s="164"/>
      <c r="N58" s="164"/>
      <c r="O58" s="169"/>
      <c r="P58" s="373"/>
      <c r="Q58" s="166">
        <f t="shared" si="24"/>
      </c>
      <c r="R58" s="4">
        <f t="shared" si="25"/>
      </c>
      <c r="S58" s="4">
        <f t="shared" si="26"/>
      </c>
      <c r="T58" s="4">
        <f t="shared" si="27"/>
      </c>
      <c r="U58" s="4">
        <f t="shared" si="28"/>
      </c>
      <c r="V58" s="4">
        <f t="shared" si="29"/>
      </c>
      <c r="W58" s="4">
        <f t="shared" si="30"/>
      </c>
      <c r="X58" s="4">
        <f t="shared" si="31"/>
      </c>
      <c r="Y58" s="189">
        <f t="shared" si="32"/>
      </c>
      <c r="Z58" s="191">
        <f t="shared" si="33"/>
      </c>
      <c r="AA58" s="336"/>
    </row>
    <row r="59" spans="1:27" ht="34.5" customHeight="1">
      <c r="A59" s="391"/>
      <c r="B59" s="77" t="s">
        <v>278</v>
      </c>
      <c r="C59" s="56"/>
      <c r="D59" s="352" t="s">
        <v>349</v>
      </c>
      <c r="E59" s="353"/>
      <c r="F59" s="354"/>
      <c r="G59" s="5">
        <v>0.03</v>
      </c>
      <c r="H59" s="5">
        <v>0.03</v>
      </c>
      <c r="I59" s="5">
        <v>0.03</v>
      </c>
      <c r="J59" s="5">
        <v>0.03</v>
      </c>
      <c r="K59" s="164"/>
      <c r="L59" s="164"/>
      <c r="M59" s="164"/>
      <c r="N59" s="164"/>
      <c r="O59" s="169"/>
      <c r="P59" s="373"/>
      <c r="Q59" s="166">
        <f t="shared" si="24"/>
      </c>
      <c r="R59" s="4">
        <f t="shared" si="25"/>
      </c>
      <c r="S59" s="4">
        <f t="shared" si="26"/>
      </c>
      <c r="T59" s="4">
        <f t="shared" si="27"/>
      </c>
      <c r="U59" s="4">
        <f t="shared" si="28"/>
      </c>
      <c r="V59" s="4">
        <f t="shared" si="29"/>
      </c>
      <c r="W59" s="4">
        <f t="shared" si="30"/>
      </c>
      <c r="X59" s="4">
        <f t="shared" si="31"/>
      </c>
      <c r="Y59" s="189">
        <f t="shared" si="32"/>
      </c>
      <c r="Z59" s="191">
        <f t="shared" si="33"/>
      </c>
      <c r="AA59" s="336"/>
    </row>
    <row r="60" spans="1:27" ht="34.5" customHeight="1">
      <c r="A60" s="391"/>
      <c r="B60" s="78" t="s">
        <v>279</v>
      </c>
      <c r="C60" s="56"/>
      <c r="D60" s="352" t="s">
        <v>350</v>
      </c>
      <c r="E60" s="353"/>
      <c r="F60" s="354"/>
      <c r="G60" s="7">
        <v>0.02</v>
      </c>
      <c r="H60" s="7">
        <v>0.02</v>
      </c>
      <c r="I60" s="7">
        <v>0.02</v>
      </c>
      <c r="J60" s="7">
        <v>0.02</v>
      </c>
      <c r="K60" s="164"/>
      <c r="L60" s="164"/>
      <c r="M60" s="164"/>
      <c r="N60" s="164"/>
      <c r="O60" s="169"/>
      <c r="P60" s="373"/>
      <c r="Q60" s="166">
        <f t="shared" si="24"/>
      </c>
      <c r="R60" s="4">
        <f t="shared" si="25"/>
      </c>
      <c r="S60" s="4">
        <f t="shared" si="26"/>
      </c>
      <c r="T60" s="4">
        <f t="shared" si="27"/>
      </c>
      <c r="U60" s="4">
        <f t="shared" si="28"/>
      </c>
      <c r="V60" s="4">
        <f t="shared" si="29"/>
      </c>
      <c r="W60" s="4">
        <f t="shared" si="30"/>
      </c>
      <c r="X60" s="4">
        <f t="shared" si="31"/>
      </c>
      <c r="Y60" s="189">
        <f t="shared" si="32"/>
      </c>
      <c r="Z60" s="191">
        <f t="shared" si="33"/>
      </c>
      <c r="AA60" s="336"/>
    </row>
    <row r="61" spans="1:27" ht="34.5" customHeight="1">
      <c r="A61" s="391"/>
      <c r="B61" s="78" t="s">
        <v>280</v>
      </c>
      <c r="C61" s="56"/>
      <c r="D61" s="352" t="s">
        <v>351</v>
      </c>
      <c r="E61" s="353"/>
      <c r="F61" s="354"/>
      <c r="G61" s="5">
        <v>0.01</v>
      </c>
      <c r="H61" s="5">
        <v>0.01</v>
      </c>
      <c r="I61" s="5">
        <v>0.01</v>
      </c>
      <c r="J61" s="5">
        <v>0.01</v>
      </c>
      <c r="K61" s="5">
        <v>0.01</v>
      </c>
      <c r="L61" s="5">
        <v>0.01</v>
      </c>
      <c r="M61" s="5">
        <v>0.01</v>
      </c>
      <c r="N61" s="5">
        <v>0.01</v>
      </c>
      <c r="O61" s="169"/>
      <c r="P61" s="373"/>
      <c r="Q61" s="166">
        <f t="shared" si="24"/>
      </c>
      <c r="R61" s="4">
        <f t="shared" si="25"/>
      </c>
      <c r="S61" s="4">
        <f t="shared" si="26"/>
      </c>
      <c r="T61" s="4">
        <f t="shared" si="27"/>
      </c>
      <c r="U61" s="4">
        <f t="shared" si="28"/>
      </c>
      <c r="V61" s="4">
        <f t="shared" si="29"/>
      </c>
      <c r="W61" s="4">
        <f t="shared" si="30"/>
      </c>
      <c r="X61" s="4">
        <f t="shared" si="31"/>
      </c>
      <c r="Y61" s="189">
        <f t="shared" si="32"/>
      </c>
      <c r="Z61" s="191">
        <f t="shared" si="33"/>
      </c>
      <c r="AA61" s="336"/>
    </row>
    <row r="62" spans="1:27" ht="19.5" customHeight="1">
      <c r="A62" s="391"/>
      <c r="B62" s="411" t="s">
        <v>281</v>
      </c>
      <c r="C62" s="422"/>
      <c r="D62" s="414" t="s">
        <v>484</v>
      </c>
      <c r="E62" s="18" t="s">
        <v>246</v>
      </c>
      <c r="F62" s="19">
        <v>5000000</v>
      </c>
      <c r="G62" s="5">
        <v>0.09</v>
      </c>
      <c r="H62" s="5">
        <v>0.1</v>
      </c>
      <c r="I62" s="5">
        <v>0.09</v>
      </c>
      <c r="J62" s="5">
        <v>0.09</v>
      </c>
      <c r="K62" s="5">
        <v>0.1</v>
      </c>
      <c r="L62" s="5">
        <v>0.1</v>
      </c>
      <c r="M62" s="5">
        <v>0.09</v>
      </c>
      <c r="N62" s="5">
        <v>0.1</v>
      </c>
      <c r="O62" s="169"/>
      <c r="P62" s="373"/>
      <c r="Q62" s="168"/>
      <c r="R62" s="164"/>
      <c r="S62" s="164"/>
      <c r="T62" s="164"/>
      <c r="U62" s="164"/>
      <c r="V62" s="164"/>
      <c r="W62" s="164"/>
      <c r="X62" s="164"/>
      <c r="Y62" s="164"/>
      <c r="Z62" s="191">
        <f t="shared" si="33"/>
      </c>
      <c r="AA62" s="336"/>
    </row>
    <row r="63" spans="1:27" ht="19.5" customHeight="1">
      <c r="A63" s="391"/>
      <c r="B63" s="412"/>
      <c r="C63" s="423"/>
      <c r="D63" s="415"/>
      <c r="E63" s="18" t="s">
        <v>247</v>
      </c>
      <c r="F63" s="19">
        <v>20000000</v>
      </c>
      <c r="G63" s="5">
        <v>0.045</v>
      </c>
      <c r="H63" s="5">
        <v>0.06</v>
      </c>
      <c r="I63" s="5">
        <v>0.045</v>
      </c>
      <c r="J63" s="5">
        <v>0.045</v>
      </c>
      <c r="K63" s="5">
        <v>0.06</v>
      </c>
      <c r="L63" s="5">
        <v>0.06</v>
      </c>
      <c r="M63" s="5">
        <v>0.045</v>
      </c>
      <c r="N63" s="5">
        <v>0.06</v>
      </c>
      <c r="O63" s="169"/>
      <c r="P63" s="373"/>
      <c r="Q63" s="168"/>
      <c r="R63" s="164"/>
      <c r="S63" s="164"/>
      <c r="T63" s="164"/>
      <c r="U63" s="164"/>
      <c r="V63" s="164"/>
      <c r="W63" s="164"/>
      <c r="X63" s="164"/>
      <c r="Y63" s="164"/>
      <c r="Z63" s="191">
        <f t="shared" si="33"/>
      </c>
      <c r="AA63" s="336"/>
    </row>
    <row r="64" spans="1:27" ht="19.5" customHeight="1">
      <c r="A64" s="391"/>
      <c r="B64" s="413"/>
      <c r="C64" s="424"/>
      <c r="D64" s="416"/>
      <c r="E64" s="18" t="s">
        <v>248</v>
      </c>
      <c r="F64" s="18"/>
      <c r="G64" s="5">
        <v>0.015</v>
      </c>
      <c r="H64" s="5">
        <v>0.025</v>
      </c>
      <c r="I64" s="5">
        <v>0.015</v>
      </c>
      <c r="J64" s="5">
        <v>0.015</v>
      </c>
      <c r="K64" s="5">
        <v>0.025</v>
      </c>
      <c r="L64" s="5">
        <v>0.025</v>
      </c>
      <c r="M64" s="5">
        <v>0.015</v>
      </c>
      <c r="N64" s="5">
        <v>0.025</v>
      </c>
      <c r="O64" s="169"/>
      <c r="P64" s="373"/>
      <c r="Q64" s="168"/>
      <c r="R64" s="164"/>
      <c r="S64" s="164"/>
      <c r="T64" s="164"/>
      <c r="U64" s="164"/>
      <c r="V64" s="164"/>
      <c r="W64" s="164"/>
      <c r="X64" s="164"/>
      <c r="Y64" s="164"/>
      <c r="Z64" s="191">
        <f t="shared" si="33"/>
      </c>
      <c r="AA64" s="336"/>
    </row>
    <row r="65" spans="1:27" ht="19.5" customHeight="1">
      <c r="A65" s="391"/>
      <c r="B65" s="411" t="s">
        <v>282</v>
      </c>
      <c r="C65" s="422"/>
      <c r="D65" s="414" t="s">
        <v>483</v>
      </c>
      <c r="E65" s="18" t="s">
        <v>246</v>
      </c>
      <c r="F65" s="19">
        <v>5000000</v>
      </c>
      <c r="G65" s="5">
        <v>0.018</v>
      </c>
      <c r="H65" s="5">
        <v>0.02</v>
      </c>
      <c r="I65" s="5">
        <v>0.018</v>
      </c>
      <c r="J65" s="5">
        <v>0.018</v>
      </c>
      <c r="K65" s="5">
        <v>0.02</v>
      </c>
      <c r="L65" s="5">
        <v>0.02</v>
      </c>
      <c r="M65" s="5">
        <v>0.018</v>
      </c>
      <c r="N65" s="5">
        <v>0.02</v>
      </c>
      <c r="O65" s="169"/>
      <c r="P65" s="373"/>
      <c r="Q65" s="168"/>
      <c r="R65" s="164"/>
      <c r="S65" s="164"/>
      <c r="T65" s="164"/>
      <c r="U65" s="164"/>
      <c r="V65" s="164"/>
      <c r="W65" s="164"/>
      <c r="X65" s="164"/>
      <c r="Y65" s="164"/>
      <c r="Z65" s="191">
        <f t="shared" si="33"/>
      </c>
      <c r="AA65" s="336"/>
    </row>
    <row r="66" spans="1:27" ht="19.5" customHeight="1">
      <c r="A66" s="391"/>
      <c r="B66" s="412"/>
      <c r="C66" s="423"/>
      <c r="D66" s="415"/>
      <c r="E66" s="18" t="s">
        <v>247</v>
      </c>
      <c r="F66" s="19">
        <v>20000000</v>
      </c>
      <c r="G66" s="5">
        <v>0.008</v>
      </c>
      <c r="H66" s="5">
        <v>0.01</v>
      </c>
      <c r="I66" s="5">
        <v>0.008</v>
      </c>
      <c r="J66" s="5">
        <v>0.008</v>
      </c>
      <c r="K66" s="5">
        <v>0.01</v>
      </c>
      <c r="L66" s="5">
        <v>0.01</v>
      </c>
      <c r="M66" s="5">
        <v>0.008</v>
      </c>
      <c r="N66" s="5">
        <v>0.01</v>
      </c>
      <c r="O66" s="169"/>
      <c r="P66" s="373"/>
      <c r="Q66" s="168"/>
      <c r="R66" s="164"/>
      <c r="S66" s="164"/>
      <c r="T66" s="164"/>
      <c r="U66" s="164"/>
      <c r="V66" s="164"/>
      <c r="W66" s="164"/>
      <c r="X66" s="164"/>
      <c r="Y66" s="164"/>
      <c r="Z66" s="191">
        <f t="shared" si="33"/>
      </c>
      <c r="AA66" s="336"/>
    </row>
    <row r="67" spans="1:27" ht="19.5" customHeight="1">
      <c r="A67" s="391"/>
      <c r="B67" s="413"/>
      <c r="C67" s="424"/>
      <c r="D67" s="416"/>
      <c r="E67" s="18" t="s">
        <v>248</v>
      </c>
      <c r="F67" s="18"/>
      <c r="G67" s="5">
        <v>0.004</v>
      </c>
      <c r="H67" s="5">
        <v>0.005</v>
      </c>
      <c r="I67" s="5">
        <v>0.004</v>
      </c>
      <c r="J67" s="5">
        <v>0.004</v>
      </c>
      <c r="K67" s="5">
        <v>0.005</v>
      </c>
      <c r="L67" s="5">
        <v>0.005</v>
      </c>
      <c r="M67" s="5">
        <v>0.004</v>
      </c>
      <c r="N67" s="5">
        <v>0.005</v>
      </c>
      <c r="O67" s="169"/>
      <c r="P67" s="373"/>
      <c r="Q67" s="168"/>
      <c r="R67" s="164"/>
      <c r="S67" s="164"/>
      <c r="T67" s="164"/>
      <c r="U67" s="164"/>
      <c r="V67" s="164"/>
      <c r="W67" s="164"/>
      <c r="X67" s="164"/>
      <c r="Y67" s="164"/>
      <c r="Z67" s="191">
        <f t="shared" si="33"/>
      </c>
      <c r="AA67" s="336"/>
    </row>
    <row r="68" spans="1:27" ht="34.5" customHeight="1">
      <c r="A68" s="391"/>
      <c r="B68" s="78" t="s">
        <v>283</v>
      </c>
      <c r="C68" s="56"/>
      <c r="D68" s="352" t="s">
        <v>517</v>
      </c>
      <c r="E68" s="353"/>
      <c r="F68" s="354"/>
      <c r="G68" s="5">
        <v>0.01</v>
      </c>
      <c r="H68" s="5">
        <v>0.01</v>
      </c>
      <c r="I68" s="5">
        <v>0.01</v>
      </c>
      <c r="J68" s="5">
        <v>0.01</v>
      </c>
      <c r="K68" s="5">
        <v>0.01</v>
      </c>
      <c r="L68" s="5">
        <v>0.01</v>
      </c>
      <c r="M68" s="5">
        <v>0.01</v>
      </c>
      <c r="N68" s="5">
        <v>0.01</v>
      </c>
      <c r="O68" s="169"/>
      <c r="P68" s="373"/>
      <c r="Q68" s="166">
        <f t="shared" si="24"/>
      </c>
      <c r="R68" s="4">
        <f t="shared" si="25"/>
      </c>
      <c r="S68" s="4">
        <f t="shared" si="26"/>
      </c>
      <c r="T68" s="4">
        <f t="shared" si="27"/>
      </c>
      <c r="U68" s="4">
        <f t="shared" si="28"/>
      </c>
      <c r="V68" s="4">
        <f t="shared" si="29"/>
      </c>
      <c r="W68" s="4">
        <f t="shared" si="30"/>
      </c>
      <c r="X68" s="4">
        <f t="shared" si="31"/>
      </c>
      <c r="Y68" s="189">
        <f>IF($C68="SI",O68,"")</f>
      </c>
      <c r="Z68" s="191">
        <f t="shared" si="33"/>
      </c>
      <c r="AA68" s="336"/>
    </row>
    <row r="69" spans="1:27" ht="34.5" customHeight="1" thickBot="1">
      <c r="A69" s="392"/>
      <c r="B69" s="78" t="s">
        <v>284</v>
      </c>
      <c r="C69" s="56"/>
      <c r="D69" s="352" t="s">
        <v>352</v>
      </c>
      <c r="E69" s="353"/>
      <c r="F69" s="354"/>
      <c r="G69" s="5">
        <v>0.13</v>
      </c>
      <c r="H69" s="5">
        <v>0.13</v>
      </c>
      <c r="I69" s="5">
        <v>0.13</v>
      </c>
      <c r="J69" s="5">
        <v>0.13</v>
      </c>
      <c r="K69" s="5">
        <v>0.13</v>
      </c>
      <c r="L69" s="5">
        <v>0.13</v>
      </c>
      <c r="M69" s="5">
        <v>0.13</v>
      </c>
      <c r="N69" s="5">
        <v>0.13</v>
      </c>
      <c r="O69" s="169"/>
      <c r="P69" s="373"/>
      <c r="Q69" s="166">
        <f t="shared" si="24"/>
      </c>
      <c r="R69" s="4">
        <f t="shared" si="25"/>
      </c>
      <c r="S69" s="4">
        <f t="shared" si="26"/>
      </c>
      <c r="T69" s="4">
        <f t="shared" si="27"/>
      </c>
      <c r="U69" s="4">
        <f t="shared" si="28"/>
      </c>
      <c r="V69" s="4">
        <f t="shared" si="29"/>
      </c>
      <c r="W69" s="4">
        <f t="shared" si="30"/>
      </c>
      <c r="X69" s="4">
        <f t="shared" si="31"/>
      </c>
      <c r="Y69" s="189">
        <f>IF($C69="SI",O69,"")</f>
      </c>
      <c r="Z69" s="191">
        <f t="shared" si="33"/>
      </c>
      <c r="AA69" s="200" t="str">
        <f>CONCATENATE(Z39," ",Z40," ",Z41," ",Z42," ",Z43," ",Z44," ",Z45," ",Z46," ",Z47," ",Z48," ",Z49," ",Z50," ",Z52," ",Z53," ",Z54)</f>
        <v>              </v>
      </c>
    </row>
    <row r="70" spans="1:27" ht="34.5" customHeight="1" thickBot="1">
      <c r="A70" s="104"/>
      <c r="B70" s="105"/>
      <c r="C70" s="283"/>
      <c r="D70" s="107" t="s">
        <v>428</v>
      </c>
      <c r="E70" s="365" t="s">
        <v>445</v>
      </c>
      <c r="F70" s="366"/>
      <c r="G70" s="108">
        <f aca="true" t="shared" si="34" ref="G70:N70">SUM(G39:G69)</f>
        <v>1.1900000000000004</v>
      </c>
      <c r="H70" s="108">
        <f t="shared" si="34"/>
        <v>1.54</v>
      </c>
      <c r="I70" s="108">
        <f t="shared" si="34"/>
        <v>1.1100000000000003</v>
      </c>
      <c r="J70" s="108">
        <f t="shared" si="34"/>
        <v>1.1500000000000004</v>
      </c>
      <c r="K70" s="108">
        <f t="shared" si="34"/>
        <v>1.06</v>
      </c>
      <c r="L70" s="108">
        <f t="shared" si="34"/>
        <v>0.9700000000000003</v>
      </c>
      <c r="M70" s="108">
        <f t="shared" si="34"/>
        <v>0.8000000000000002</v>
      </c>
      <c r="N70" s="108">
        <f t="shared" si="34"/>
        <v>0.9900000000000003</v>
      </c>
      <c r="O70" s="177"/>
      <c r="P70" s="373"/>
      <c r="Q70" s="170">
        <f aca="true" t="shared" si="35" ref="Q70:Y70">SUM(Q39:Q69)</f>
        <v>0</v>
      </c>
      <c r="R70" s="110">
        <f t="shared" si="35"/>
        <v>0</v>
      </c>
      <c r="S70" s="110">
        <f t="shared" si="35"/>
        <v>0</v>
      </c>
      <c r="T70" s="110">
        <f t="shared" si="35"/>
        <v>0</v>
      </c>
      <c r="U70" s="110">
        <f t="shared" si="35"/>
        <v>0</v>
      </c>
      <c r="V70" s="110">
        <f t="shared" si="35"/>
        <v>0</v>
      </c>
      <c r="W70" s="110">
        <f t="shared" si="35"/>
        <v>0</v>
      </c>
      <c r="X70" s="110">
        <f t="shared" si="35"/>
        <v>0</v>
      </c>
      <c r="Y70" s="197">
        <f t="shared" si="35"/>
        <v>0</v>
      </c>
      <c r="Z70" s="201">
        <f>SUM(Q70:Y70)</f>
        <v>0</v>
      </c>
      <c r="AA70" s="193" t="str">
        <f>CONCATENATE(Z55," ",Z56," ",Z57," ",Z58," ",Z59," ",Z60," ",Z61," ",Z62," ",Z63," ",Z64," ",Z65," ",Z66," ",Z67," ",Z68," ",Z69)</f>
        <v>              </v>
      </c>
    </row>
    <row r="71" spans="1:27" ht="34.5" customHeight="1">
      <c r="A71" s="387" t="s">
        <v>353</v>
      </c>
      <c r="B71" s="102" t="s">
        <v>285</v>
      </c>
      <c r="C71" s="289"/>
      <c r="D71" s="362" t="s">
        <v>354</v>
      </c>
      <c r="E71" s="363"/>
      <c r="F71" s="364"/>
      <c r="G71" s="87">
        <v>0.07</v>
      </c>
      <c r="H71" s="87">
        <v>0.12</v>
      </c>
      <c r="I71" s="87">
        <v>0.15</v>
      </c>
      <c r="J71" s="113">
        <v>0.04</v>
      </c>
      <c r="K71" s="87">
        <v>0.04</v>
      </c>
      <c r="L71" s="87">
        <v>0.11</v>
      </c>
      <c r="M71" s="87">
        <v>0.05</v>
      </c>
      <c r="N71" s="87">
        <v>0.04</v>
      </c>
      <c r="O71" s="176"/>
      <c r="P71" s="373"/>
      <c r="Q71" s="165">
        <f aca="true" t="shared" si="36" ref="Q71:Q81">IF($C71="SI",G71,"")</f>
      </c>
      <c r="R71" s="109">
        <f aca="true" t="shared" si="37" ref="R71:R81">IF($C71="SI",H71,"")</f>
      </c>
      <c r="S71" s="109">
        <f aca="true" t="shared" si="38" ref="S71:S81">IF($C71="SI",I71,"")</f>
      </c>
      <c r="T71" s="109">
        <f aca="true" t="shared" si="39" ref="T71:T81">IF($C71="SI",J71,"")</f>
      </c>
      <c r="U71" s="109">
        <f aca="true" t="shared" si="40" ref="U71:U81">IF($C71="SI",K71,"")</f>
      </c>
      <c r="V71" s="109">
        <f aca="true" t="shared" si="41" ref="V71:V81">IF($C71="SI",L71,"")</f>
      </c>
      <c r="W71" s="109">
        <f aca="true" t="shared" si="42" ref="W71:W81">IF($C71="SI",M71,"")</f>
      </c>
      <c r="X71" s="109">
        <f aca="true" t="shared" si="43" ref="X71:X81">IF($C71="SI",N71,"")</f>
      </c>
      <c r="Y71" s="185">
        <f aca="true" t="shared" si="44" ref="Y71:Y81">IF($C71="SI",O71,"")</f>
      </c>
      <c r="Z71" s="196">
        <f>IF($C71="SI",B71,"")</f>
      </c>
      <c r="AA71" s="337" t="s">
        <v>509</v>
      </c>
    </row>
    <row r="72" spans="1:27" ht="34.5" customHeight="1">
      <c r="A72" s="388"/>
      <c r="B72" s="74" t="s">
        <v>286</v>
      </c>
      <c r="C72" s="289"/>
      <c r="D72" s="352" t="s">
        <v>355</v>
      </c>
      <c r="E72" s="353"/>
      <c r="F72" s="354"/>
      <c r="G72" s="7">
        <v>0.13</v>
      </c>
      <c r="H72" s="7">
        <v>0.13</v>
      </c>
      <c r="I72" s="7">
        <v>0.05</v>
      </c>
      <c r="J72" s="7">
        <v>0.05</v>
      </c>
      <c r="K72" s="7">
        <v>0.08</v>
      </c>
      <c r="L72" s="7">
        <v>0.05</v>
      </c>
      <c r="M72" s="7">
        <v>0.1</v>
      </c>
      <c r="N72" s="7">
        <v>0.08</v>
      </c>
      <c r="O72" s="169"/>
      <c r="P72" s="373"/>
      <c r="Q72" s="166">
        <f t="shared" si="36"/>
      </c>
      <c r="R72" s="4">
        <f t="shared" si="37"/>
      </c>
      <c r="S72" s="4">
        <f t="shared" si="38"/>
      </c>
      <c r="T72" s="4">
        <f t="shared" si="39"/>
      </c>
      <c r="U72" s="4">
        <f t="shared" si="40"/>
      </c>
      <c r="V72" s="4">
        <f t="shared" si="41"/>
      </c>
      <c r="W72" s="4">
        <f t="shared" si="42"/>
      </c>
      <c r="X72" s="4">
        <f t="shared" si="43"/>
      </c>
      <c r="Y72" s="189">
        <f t="shared" si="44"/>
      </c>
      <c r="Z72" s="191">
        <f aca="true" t="shared" si="45" ref="Z72:Z81">IF($C72="SI",B72,"")</f>
      </c>
      <c r="AA72" s="336"/>
    </row>
    <row r="73" spans="1:27" ht="34.5" customHeight="1">
      <c r="A73" s="388"/>
      <c r="B73" s="73" t="s">
        <v>287</v>
      </c>
      <c r="C73" s="289"/>
      <c r="D73" s="352" t="s">
        <v>356</v>
      </c>
      <c r="E73" s="353"/>
      <c r="F73" s="354"/>
      <c r="G73" s="7">
        <v>0.04</v>
      </c>
      <c r="H73" s="7">
        <v>0.03</v>
      </c>
      <c r="I73" s="7">
        <v>0.05</v>
      </c>
      <c r="J73" s="7">
        <v>0.05</v>
      </c>
      <c r="K73" s="7">
        <v>0.03</v>
      </c>
      <c r="L73" s="7">
        <v>0.04</v>
      </c>
      <c r="M73" s="7">
        <v>0.03</v>
      </c>
      <c r="N73" s="7">
        <v>0.03</v>
      </c>
      <c r="O73" s="169"/>
      <c r="P73" s="373"/>
      <c r="Q73" s="166">
        <f t="shared" si="36"/>
      </c>
      <c r="R73" s="4">
        <f t="shared" si="37"/>
      </c>
      <c r="S73" s="4">
        <f t="shared" si="38"/>
      </c>
      <c r="T73" s="4">
        <f t="shared" si="39"/>
      </c>
      <c r="U73" s="4">
        <f t="shared" si="40"/>
      </c>
      <c r="V73" s="4">
        <f t="shared" si="41"/>
      </c>
      <c r="W73" s="4">
        <f t="shared" si="42"/>
      </c>
      <c r="X73" s="4">
        <f t="shared" si="43"/>
      </c>
      <c r="Y73" s="189">
        <f t="shared" si="44"/>
      </c>
      <c r="Z73" s="191">
        <f t="shared" si="45"/>
      </c>
      <c r="AA73" s="336"/>
    </row>
    <row r="74" spans="1:27" ht="34.5" customHeight="1">
      <c r="A74" s="388"/>
      <c r="B74" s="74" t="s">
        <v>288</v>
      </c>
      <c r="C74" s="289"/>
      <c r="D74" s="352" t="s">
        <v>357</v>
      </c>
      <c r="E74" s="353"/>
      <c r="F74" s="354"/>
      <c r="G74" s="7">
        <v>0.02</v>
      </c>
      <c r="H74" s="7">
        <v>0.01</v>
      </c>
      <c r="I74" s="7">
        <v>0.02</v>
      </c>
      <c r="J74" s="7">
        <v>0.02</v>
      </c>
      <c r="K74" s="7">
        <v>0.02</v>
      </c>
      <c r="L74" s="7">
        <v>0.02</v>
      </c>
      <c r="M74" s="7">
        <v>0.02</v>
      </c>
      <c r="N74" s="7">
        <v>0.02</v>
      </c>
      <c r="O74" s="169"/>
      <c r="P74" s="373"/>
      <c r="Q74" s="166">
        <f t="shared" si="36"/>
      </c>
      <c r="R74" s="4">
        <f t="shared" si="37"/>
      </c>
      <c r="S74" s="4">
        <f t="shared" si="38"/>
      </c>
      <c r="T74" s="4">
        <f t="shared" si="39"/>
      </c>
      <c r="U74" s="4">
        <f t="shared" si="40"/>
      </c>
      <c r="V74" s="4">
        <f t="shared" si="41"/>
      </c>
      <c r="W74" s="4">
        <f t="shared" si="42"/>
      </c>
      <c r="X74" s="4">
        <f t="shared" si="43"/>
      </c>
      <c r="Y74" s="189">
        <f t="shared" si="44"/>
      </c>
      <c r="Z74" s="191">
        <f t="shared" si="45"/>
      </c>
      <c r="AA74" s="336"/>
    </row>
    <row r="75" spans="1:27" ht="34.5" customHeight="1">
      <c r="A75" s="388"/>
      <c r="B75" s="73" t="s">
        <v>289</v>
      </c>
      <c r="C75" s="289"/>
      <c r="D75" s="352" t="s">
        <v>358</v>
      </c>
      <c r="E75" s="353"/>
      <c r="F75" s="354"/>
      <c r="G75" s="7">
        <v>0.02</v>
      </c>
      <c r="H75" s="7">
        <v>0.025</v>
      </c>
      <c r="I75" s="7">
        <v>0.03</v>
      </c>
      <c r="J75" s="7">
        <v>0.03</v>
      </c>
      <c r="K75" s="7">
        <v>0.03</v>
      </c>
      <c r="L75" s="7">
        <v>0.02</v>
      </c>
      <c r="M75" s="7">
        <v>0.02</v>
      </c>
      <c r="N75" s="7">
        <v>0.03</v>
      </c>
      <c r="O75" s="169"/>
      <c r="P75" s="373"/>
      <c r="Q75" s="166">
        <f t="shared" si="36"/>
      </c>
      <c r="R75" s="4">
        <f t="shared" si="37"/>
      </c>
      <c r="S75" s="4">
        <f t="shared" si="38"/>
      </c>
      <c r="T75" s="4">
        <f t="shared" si="39"/>
      </c>
      <c r="U75" s="4">
        <f t="shared" si="40"/>
      </c>
      <c r="V75" s="4">
        <f t="shared" si="41"/>
      </c>
      <c r="W75" s="4">
        <f t="shared" si="42"/>
      </c>
      <c r="X75" s="4">
        <f t="shared" si="43"/>
      </c>
      <c r="Y75" s="189">
        <f t="shared" si="44"/>
      </c>
      <c r="Z75" s="191">
        <f t="shared" si="45"/>
      </c>
      <c r="AA75" s="336"/>
    </row>
    <row r="76" spans="1:27" ht="34.5" customHeight="1">
      <c r="A76" s="388"/>
      <c r="B76" s="74" t="s">
        <v>290</v>
      </c>
      <c r="C76" s="289"/>
      <c r="D76" s="355" t="s">
        <v>345</v>
      </c>
      <c r="E76" s="356"/>
      <c r="F76" s="357"/>
      <c r="G76" s="7">
        <v>0.03</v>
      </c>
      <c r="H76" s="7">
        <v>0.03</v>
      </c>
      <c r="I76" s="7">
        <v>0.03</v>
      </c>
      <c r="J76" s="7">
        <v>0.03</v>
      </c>
      <c r="K76" s="7">
        <v>0.03</v>
      </c>
      <c r="L76" s="7">
        <v>0.03</v>
      </c>
      <c r="M76" s="7">
        <v>0.03</v>
      </c>
      <c r="N76" s="7">
        <v>0.03</v>
      </c>
      <c r="O76" s="169"/>
      <c r="P76" s="373"/>
      <c r="Q76" s="166">
        <f t="shared" si="36"/>
      </c>
      <c r="R76" s="4">
        <f t="shared" si="37"/>
      </c>
      <c r="S76" s="4">
        <f t="shared" si="38"/>
      </c>
      <c r="T76" s="4">
        <f t="shared" si="39"/>
      </c>
      <c r="U76" s="4">
        <f t="shared" si="40"/>
      </c>
      <c r="V76" s="4">
        <f t="shared" si="41"/>
      </c>
      <c r="W76" s="4">
        <f t="shared" si="42"/>
      </c>
      <c r="X76" s="4">
        <f t="shared" si="43"/>
      </c>
      <c r="Y76" s="189">
        <f t="shared" si="44"/>
      </c>
      <c r="Z76" s="191">
        <f t="shared" si="45"/>
      </c>
      <c r="AA76" s="336"/>
    </row>
    <row r="77" spans="1:27" ht="34.5" customHeight="1">
      <c r="A77" s="388"/>
      <c r="B77" s="73" t="s">
        <v>291</v>
      </c>
      <c r="C77" s="289"/>
      <c r="D77" s="377" t="s">
        <v>359</v>
      </c>
      <c r="E77" s="378"/>
      <c r="F77" s="379"/>
      <c r="G77" s="229">
        <v>0.1</v>
      </c>
      <c r="H77" s="229">
        <v>0.1</v>
      </c>
      <c r="I77" s="229">
        <v>0.1</v>
      </c>
      <c r="J77" s="229">
        <v>0.1</v>
      </c>
      <c r="K77" s="229">
        <v>0.1</v>
      </c>
      <c r="L77" s="229">
        <v>0.1</v>
      </c>
      <c r="M77" s="229">
        <v>0.1</v>
      </c>
      <c r="N77" s="229">
        <v>0.1</v>
      </c>
      <c r="O77" s="169"/>
      <c r="P77" s="373"/>
      <c r="Q77" s="166">
        <f t="shared" si="36"/>
      </c>
      <c r="R77" s="4">
        <f t="shared" si="37"/>
      </c>
      <c r="S77" s="4">
        <f t="shared" si="38"/>
      </c>
      <c r="T77" s="4">
        <f t="shared" si="39"/>
      </c>
      <c r="U77" s="4">
        <f t="shared" si="40"/>
      </c>
      <c r="V77" s="4">
        <f t="shared" si="41"/>
      </c>
      <c r="W77" s="4">
        <f t="shared" si="42"/>
      </c>
      <c r="X77" s="4">
        <f t="shared" si="43"/>
      </c>
      <c r="Y77" s="189">
        <f t="shared" si="44"/>
      </c>
      <c r="Z77" s="230">
        <f t="shared" si="45"/>
      </c>
      <c r="AA77" s="336"/>
    </row>
    <row r="78" spans="1:27" ht="34.5" customHeight="1">
      <c r="A78" s="388"/>
      <c r="B78" s="74" t="s">
        <v>292</v>
      </c>
      <c r="C78" s="289"/>
      <c r="D78" s="355" t="s">
        <v>360</v>
      </c>
      <c r="E78" s="356"/>
      <c r="F78" s="357"/>
      <c r="G78" s="7">
        <v>0.01</v>
      </c>
      <c r="H78" s="7">
        <v>0.01</v>
      </c>
      <c r="I78" s="7">
        <v>0.01</v>
      </c>
      <c r="J78" s="7">
        <v>0.01</v>
      </c>
      <c r="K78" s="7">
        <v>0.01</v>
      </c>
      <c r="L78" s="7">
        <v>0.01</v>
      </c>
      <c r="M78" s="7">
        <v>0.01</v>
      </c>
      <c r="N78" s="7">
        <v>0.01</v>
      </c>
      <c r="O78" s="169"/>
      <c r="P78" s="373"/>
      <c r="Q78" s="279">
        <f t="shared" si="36"/>
      </c>
      <c r="R78" s="4">
        <f t="shared" si="37"/>
      </c>
      <c r="S78" s="4">
        <f t="shared" si="38"/>
      </c>
      <c r="T78" s="4">
        <f t="shared" si="39"/>
      </c>
      <c r="U78" s="4">
        <f t="shared" si="40"/>
      </c>
      <c r="V78" s="4">
        <f t="shared" si="41"/>
      </c>
      <c r="W78" s="4">
        <f t="shared" si="42"/>
      </c>
      <c r="X78" s="4">
        <f t="shared" si="43"/>
      </c>
      <c r="Y78" s="189">
        <f t="shared" si="44"/>
      </c>
      <c r="Z78" s="191">
        <f t="shared" si="45"/>
      </c>
      <c r="AA78" s="336"/>
    </row>
    <row r="79" spans="1:27" ht="34.5" customHeight="1">
      <c r="A79" s="388"/>
      <c r="B79" s="73" t="s">
        <v>293</v>
      </c>
      <c r="C79" s="289"/>
      <c r="D79" s="352" t="s">
        <v>361</v>
      </c>
      <c r="E79" s="353"/>
      <c r="F79" s="354"/>
      <c r="G79" s="7">
        <v>0.13</v>
      </c>
      <c r="H79" s="7">
        <v>0.13</v>
      </c>
      <c r="I79" s="7">
        <v>0.13</v>
      </c>
      <c r="J79" s="7">
        <v>0.13</v>
      </c>
      <c r="K79" s="7">
        <v>0.13</v>
      </c>
      <c r="L79" s="7">
        <v>0.13</v>
      </c>
      <c r="M79" s="7">
        <v>0.13</v>
      </c>
      <c r="N79" s="7">
        <v>0.13</v>
      </c>
      <c r="O79" s="169"/>
      <c r="P79" s="373"/>
      <c r="Q79" s="166">
        <f t="shared" si="36"/>
      </c>
      <c r="R79" s="4">
        <f t="shared" si="37"/>
      </c>
      <c r="S79" s="4">
        <f t="shared" si="38"/>
      </c>
      <c r="T79" s="4">
        <f t="shared" si="39"/>
      </c>
      <c r="U79" s="4">
        <f t="shared" si="40"/>
      </c>
      <c r="V79" s="4">
        <f t="shared" si="41"/>
      </c>
      <c r="W79" s="4">
        <f t="shared" si="42"/>
      </c>
      <c r="X79" s="4">
        <f t="shared" si="43"/>
      </c>
      <c r="Y79" s="189">
        <f t="shared" si="44"/>
      </c>
      <c r="Z79" s="191">
        <f t="shared" si="45"/>
      </c>
      <c r="AA79" s="336"/>
    </row>
    <row r="80" spans="1:27" ht="34.5" customHeight="1">
      <c r="A80" s="388"/>
      <c r="B80" s="74" t="s">
        <v>294</v>
      </c>
      <c r="C80" s="289"/>
      <c r="D80" s="355" t="s">
        <v>362</v>
      </c>
      <c r="E80" s="356"/>
      <c r="F80" s="357"/>
      <c r="G80" s="7">
        <v>0.04</v>
      </c>
      <c r="H80" s="7">
        <v>0.04</v>
      </c>
      <c r="I80" s="7">
        <v>0.04</v>
      </c>
      <c r="J80" s="7">
        <v>0.04</v>
      </c>
      <c r="K80" s="7">
        <v>0.04</v>
      </c>
      <c r="L80" s="7">
        <v>0.04</v>
      </c>
      <c r="M80" s="7">
        <v>0.04</v>
      </c>
      <c r="N80" s="7">
        <v>0.04</v>
      </c>
      <c r="O80" s="169"/>
      <c r="P80" s="373"/>
      <c r="Q80" s="166">
        <f t="shared" si="36"/>
      </c>
      <c r="R80" s="4">
        <f t="shared" si="37"/>
      </c>
      <c r="S80" s="4">
        <f t="shared" si="38"/>
      </c>
      <c r="T80" s="4">
        <f t="shared" si="39"/>
      </c>
      <c r="U80" s="4">
        <f t="shared" si="40"/>
      </c>
      <c r="V80" s="4">
        <f t="shared" si="41"/>
      </c>
      <c r="W80" s="4">
        <f t="shared" si="42"/>
      </c>
      <c r="X80" s="4">
        <f t="shared" si="43"/>
      </c>
      <c r="Y80" s="189">
        <f t="shared" si="44"/>
      </c>
      <c r="Z80" s="191">
        <f t="shared" si="45"/>
      </c>
      <c r="AA80" s="336"/>
    </row>
    <row r="81" spans="1:27" ht="34.5" customHeight="1" thickBot="1">
      <c r="A81" s="389"/>
      <c r="B81" s="73" t="s">
        <v>295</v>
      </c>
      <c r="C81" s="289"/>
      <c r="D81" s="355" t="s">
        <v>363</v>
      </c>
      <c r="E81" s="356"/>
      <c r="F81" s="357"/>
      <c r="G81" s="7">
        <v>0.01</v>
      </c>
      <c r="H81" s="7">
        <v>0.01</v>
      </c>
      <c r="I81" s="7">
        <v>0.01</v>
      </c>
      <c r="J81" s="7">
        <v>0.01</v>
      </c>
      <c r="K81" s="7">
        <v>0.01</v>
      </c>
      <c r="L81" s="7">
        <v>0.01</v>
      </c>
      <c r="M81" s="7">
        <v>0.01</v>
      </c>
      <c r="N81" s="7">
        <v>0.01</v>
      </c>
      <c r="O81" s="169"/>
      <c r="P81" s="373"/>
      <c r="Q81" s="166">
        <f t="shared" si="36"/>
      </c>
      <c r="R81" s="4">
        <f t="shared" si="37"/>
      </c>
      <c r="S81" s="4">
        <f t="shared" si="38"/>
      </c>
      <c r="T81" s="4">
        <f t="shared" si="39"/>
      </c>
      <c r="U81" s="4">
        <f t="shared" si="40"/>
      </c>
      <c r="V81" s="4">
        <f t="shared" si="41"/>
      </c>
      <c r="W81" s="4">
        <f t="shared" si="42"/>
      </c>
      <c r="X81" s="4">
        <f t="shared" si="43"/>
      </c>
      <c r="Y81" s="189">
        <f t="shared" si="44"/>
      </c>
      <c r="Z81" s="192">
        <f t="shared" si="45"/>
      </c>
      <c r="AA81" s="338"/>
    </row>
    <row r="82" spans="1:28" ht="34.5" customHeight="1" thickBot="1">
      <c r="A82" s="104"/>
      <c r="B82" s="105"/>
      <c r="C82" s="283"/>
      <c r="D82" s="107" t="s">
        <v>428</v>
      </c>
      <c r="E82" s="365" t="s">
        <v>447</v>
      </c>
      <c r="F82" s="366"/>
      <c r="G82" s="108">
        <f>SUM(G71:G81)</f>
        <v>0.6000000000000001</v>
      </c>
      <c r="H82" s="108">
        <f aca="true" t="shared" si="46" ref="H82:N82">SUM(H71:H81)</f>
        <v>0.6350000000000001</v>
      </c>
      <c r="I82" s="108">
        <f t="shared" si="46"/>
        <v>0.6200000000000001</v>
      </c>
      <c r="J82" s="108">
        <f t="shared" si="46"/>
        <v>0.51</v>
      </c>
      <c r="K82" s="108">
        <f t="shared" si="46"/>
        <v>0.52</v>
      </c>
      <c r="L82" s="108">
        <f t="shared" si="46"/>
        <v>0.56</v>
      </c>
      <c r="M82" s="108">
        <f t="shared" si="46"/>
        <v>0.54</v>
      </c>
      <c r="N82" s="108">
        <f t="shared" si="46"/>
        <v>0.52</v>
      </c>
      <c r="O82" s="177"/>
      <c r="P82" s="373"/>
      <c r="Q82" s="170">
        <f aca="true" t="shared" si="47" ref="Q82:Y82">SUM(Q71:Q81)</f>
        <v>0</v>
      </c>
      <c r="R82" s="110">
        <f t="shared" si="47"/>
        <v>0</v>
      </c>
      <c r="S82" s="110">
        <f t="shared" si="47"/>
        <v>0</v>
      </c>
      <c r="T82" s="110">
        <f t="shared" si="47"/>
        <v>0</v>
      </c>
      <c r="U82" s="110">
        <f t="shared" si="47"/>
        <v>0</v>
      </c>
      <c r="V82" s="110">
        <f t="shared" si="47"/>
        <v>0</v>
      </c>
      <c r="W82" s="110">
        <f t="shared" si="47"/>
        <v>0</v>
      </c>
      <c r="X82" s="110">
        <f t="shared" si="47"/>
        <v>0</v>
      </c>
      <c r="Y82" s="111">
        <f t="shared" si="47"/>
        <v>0</v>
      </c>
      <c r="Z82" s="198">
        <f>SUM(Q82:Y82)</f>
        <v>0</v>
      </c>
      <c r="AA82" s="203" t="str">
        <f>CONCATENATE($Z71," ",$Z72," ",$Z73," ",$Z74," ",$Z75," ",$Z76," ",$Z77," ",$Z78," ",$Z79," ",$Z80," ",$Z81)</f>
        <v>          </v>
      </c>
      <c r="AB82" s="232" t="str">
        <f>CONCATENATE($Z71," ",$Z72," ",$Z73," ",$Z74," ",$Z75," ",$Z76," ",$Z78," ",$Z79," ",$Z80," ",$Z81)</f>
        <v>         </v>
      </c>
    </row>
    <row r="83" spans="1:27" ht="34.5" customHeight="1">
      <c r="A83" s="384" t="s">
        <v>364</v>
      </c>
      <c r="B83" s="112" t="s">
        <v>296</v>
      </c>
      <c r="C83" s="55" t="s">
        <v>405</v>
      </c>
      <c r="D83" s="362" t="s">
        <v>365</v>
      </c>
      <c r="E83" s="363"/>
      <c r="F83" s="364"/>
      <c r="G83" s="87">
        <v>0.32</v>
      </c>
      <c r="H83" s="87">
        <v>0.38</v>
      </c>
      <c r="I83" s="87">
        <v>0.32</v>
      </c>
      <c r="J83" s="113">
        <v>0.45</v>
      </c>
      <c r="K83" s="87">
        <v>0.42</v>
      </c>
      <c r="L83" s="87">
        <v>0.42</v>
      </c>
      <c r="M83" s="87">
        <v>0.35</v>
      </c>
      <c r="N83" s="87">
        <v>0.11</v>
      </c>
      <c r="O83" s="176"/>
      <c r="P83" s="373"/>
      <c r="Q83" s="165">
        <f aca="true" t="shared" si="48" ref="Q83:Q96">IF($C83="SI",G83,"")</f>
        <v>0.32</v>
      </c>
      <c r="R83" s="109">
        <f aca="true" t="shared" si="49" ref="R83:R96">IF($C83="SI",H83,"")</f>
        <v>0.38</v>
      </c>
      <c r="S83" s="109">
        <f aca="true" t="shared" si="50" ref="S83:S96">IF($C83="SI",I83,"")</f>
        <v>0.32</v>
      </c>
      <c r="T83" s="109">
        <f aca="true" t="shared" si="51" ref="T83:T96">IF($C83="SI",J83,"")</f>
        <v>0.45</v>
      </c>
      <c r="U83" s="109">
        <f aca="true" t="shared" si="52" ref="U83:U96">IF($C83="SI",K83,"")</f>
        <v>0.42</v>
      </c>
      <c r="V83" s="109">
        <f aca="true" t="shared" si="53" ref="V83:V96">IF($C83="SI",L83,"")</f>
        <v>0.42</v>
      </c>
      <c r="W83" s="109">
        <f aca="true" t="shared" si="54" ref="W83:W96">IF($C83="SI",M83,"")</f>
        <v>0.35</v>
      </c>
      <c r="X83" s="109">
        <f aca="true" t="shared" si="55" ref="X83:X96">IF($C83="SI",N83,"")</f>
        <v>0.11</v>
      </c>
      <c r="Y83" s="185">
        <f aca="true" t="shared" si="56" ref="Y83:Y91">IF($C83="SI",O83,"")</f>
        <v>0</v>
      </c>
      <c r="Z83" s="190" t="str">
        <f>IF($C83="SI",B83,"")</f>
        <v>Qc.I.01</v>
      </c>
      <c r="AA83" s="339" t="s">
        <v>510</v>
      </c>
    </row>
    <row r="84" spans="1:27" ht="34.5" customHeight="1">
      <c r="A84" s="385"/>
      <c r="B84" s="78" t="s">
        <v>297</v>
      </c>
      <c r="C84" s="55" t="s">
        <v>405</v>
      </c>
      <c r="D84" s="352" t="s">
        <v>366</v>
      </c>
      <c r="E84" s="353"/>
      <c r="F84" s="354"/>
      <c r="G84" s="7">
        <v>0.03</v>
      </c>
      <c r="H84" s="7">
        <v>0.02</v>
      </c>
      <c r="I84" s="7">
        <v>0.03</v>
      </c>
      <c r="J84" s="7">
        <v>0.03</v>
      </c>
      <c r="K84" s="7">
        <v>0.03</v>
      </c>
      <c r="L84" s="7">
        <v>0.04</v>
      </c>
      <c r="M84" s="7">
        <v>0.03</v>
      </c>
      <c r="N84" s="7">
        <v>0.03</v>
      </c>
      <c r="O84" s="169"/>
      <c r="P84" s="373"/>
      <c r="Q84" s="166">
        <f t="shared" si="48"/>
        <v>0.03</v>
      </c>
      <c r="R84" s="4">
        <f t="shared" si="49"/>
        <v>0.02</v>
      </c>
      <c r="S84" s="4">
        <f t="shared" si="50"/>
        <v>0.03</v>
      </c>
      <c r="T84" s="4">
        <f t="shared" si="51"/>
        <v>0.03</v>
      </c>
      <c r="U84" s="4">
        <f t="shared" si="52"/>
        <v>0.03</v>
      </c>
      <c r="V84" s="4">
        <f t="shared" si="53"/>
        <v>0.04</v>
      </c>
      <c r="W84" s="4">
        <f t="shared" si="54"/>
        <v>0.03</v>
      </c>
      <c r="X84" s="4">
        <f t="shared" si="55"/>
        <v>0.03</v>
      </c>
      <c r="Y84" s="189">
        <f t="shared" si="56"/>
        <v>0</v>
      </c>
      <c r="Z84" s="191" t="str">
        <f aca="true" t="shared" si="57" ref="Z84:Z96">IF($C84="SI",B84,"")</f>
        <v>Qc.I.02</v>
      </c>
      <c r="AA84" s="340"/>
    </row>
    <row r="85" spans="1:27" ht="34.5" customHeight="1">
      <c r="A85" s="385"/>
      <c r="B85" s="77" t="s">
        <v>298</v>
      </c>
      <c r="C85" s="55" t="s">
        <v>405</v>
      </c>
      <c r="D85" s="352" t="s">
        <v>367</v>
      </c>
      <c r="E85" s="353"/>
      <c r="F85" s="354"/>
      <c r="G85" s="7">
        <v>0.02</v>
      </c>
      <c r="H85" s="7">
        <v>0.02</v>
      </c>
      <c r="I85" s="7">
        <v>0.02</v>
      </c>
      <c r="J85" s="7">
        <v>0.02</v>
      </c>
      <c r="K85" s="7">
        <v>0.02</v>
      </c>
      <c r="L85" s="7">
        <v>0.02</v>
      </c>
      <c r="M85" s="7">
        <v>0.02</v>
      </c>
      <c r="N85" s="7">
        <v>0.02</v>
      </c>
      <c r="O85" s="169"/>
      <c r="P85" s="373"/>
      <c r="Q85" s="166">
        <f t="shared" si="48"/>
        <v>0.02</v>
      </c>
      <c r="R85" s="4">
        <f t="shared" si="49"/>
        <v>0.02</v>
      </c>
      <c r="S85" s="4">
        <f t="shared" si="50"/>
        <v>0.02</v>
      </c>
      <c r="T85" s="4">
        <f t="shared" si="51"/>
        <v>0.02</v>
      </c>
      <c r="U85" s="4">
        <f t="shared" si="52"/>
        <v>0.02</v>
      </c>
      <c r="V85" s="4">
        <f t="shared" si="53"/>
        <v>0.02</v>
      </c>
      <c r="W85" s="4">
        <f t="shared" si="54"/>
        <v>0.02</v>
      </c>
      <c r="X85" s="4">
        <f t="shared" si="55"/>
        <v>0.02</v>
      </c>
      <c r="Y85" s="189">
        <f t="shared" si="56"/>
        <v>0</v>
      </c>
      <c r="Z85" s="191" t="str">
        <f t="shared" si="57"/>
        <v>Qc.I.03</v>
      </c>
      <c r="AA85" s="340"/>
    </row>
    <row r="86" spans="1:27" ht="34.5" customHeight="1">
      <c r="A86" s="385"/>
      <c r="B86" s="78" t="s">
        <v>299</v>
      </c>
      <c r="C86" s="55"/>
      <c r="D86" s="352" t="s">
        <v>368</v>
      </c>
      <c r="E86" s="353"/>
      <c r="F86" s="354"/>
      <c r="G86" s="7">
        <v>0.02</v>
      </c>
      <c r="H86" s="7">
        <v>0.02</v>
      </c>
      <c r="I86" s="7">
        <v>0.02</v>
      </c>
      <c r="J86" s="7">
        <v>0.02</v>
      </c>
      <c r="K86" s="7">
        <v>0.02</v>
      </c>
      <c r="L86" s="7">
        <v>0.02</v>
      </c>
      <c r="M86" s="7">
        <v>0.02</v>
      </c>
      <c r="N86" s="7">
        <v>0.02</v>
      </c>
      <c r="O86" s="169"/>
      <c r="P86" s="373"/>
      <c r="Q86" s="166">
        <f t="shared" si="48"/>
      </c>
      <c r="R86" s="4">
        <f t="shared" si="49"/>
      </c>
      <c r="S86" s="4">
        <f t="shared" si="50"/>
      </c>
      <c r="T86" s="4">
        <f t="shared" si="51"/>
      </c>
      <c r="U86" s="4">
        <f t="shared" si="52"/>
      </c>
      <c r="V86" s="4">
        <f t="shared" si="53"/>
      </c>
      <c r="W86" s="4">
        <f t="shared" si="54"/>
      </c>
      <c r="X86" s="4">
        <f t="shared" si="55"/>
      </c>
      <c r="Y86" s="189">
        <f t="shared" si="56"/>
      </c>
      <c r="Z86" s="191">
        <f t="shared" si="57"/>
      </c>
      <c r="AA86" s="340"/>
    </row>
    <row r="87" spans="1:27" ht="34.5" customHeight="1">
      <c r="A87" s="385"/>
      <c r="B87" s="77" t="s">
        <v>300</v>
      </c>
      <c r="C87" s="55"/>
      <c r="D87" s="352" t="s">
        <v>369</v>
      </c>
      <c r="E87" s="353"/>
      <c r="F87" s="354"/>
      <c r="G87" s="7">
        <v>0.1</v>
      </c>
      <c r="H87" s="7">
        <v>0.1</v>
      </c>
      <c r="I87" s="7">
        <v>0.1</v>
      </c>
      <c r="J87" s="7">
        <v>0.1</v>
      </c>
      <c r="K87" s="7">
        <v>0.1</v>
      </c>
      <c r="L87" s="7">
        <v>0.1</v>
      </c>
      <c r="M87" s="7">
        <v>0.1</v>
      </c>
      <c r="N87" s="7">
        <v>0.1</v>
      </c>
      <c r="O87" s="169"/>
      <c r="P87" s="373"/>
      <c r="Q87" s="166">
        <f t="shared" si="48"/>
      </c>
      <c r="R87" s="4">
        <f t="shared" si="49"/>
      </c>
      <c r="S87" s="4">
        <f t="shared" si="50"/>
      </c>
      <c r="T87" s="4">
        <f t="shared" si="51"/>
      </c>
      <c r="U87" s="4">
        <f t="shared" si="52"/>
      </c>
      <c r="V87" s="4">
        <f t="shared" si="53"/>
      </c>
      <c r="W87" s="4">
        <f t="shared" si="54"/>
      </c>
      <c r="X87" s="4">
        <f t="shared" si="55"/>
      </c>
      <c r="Y87" s="189">
        <f t="shared" si="56"/>
      </c>
      <c r="Z87" s="191">
        <f t="shared" si="57"/>
      </c>
      <c r="AA87" s="340"/>
    </row>
    <row r="88" spans="1:27" ht="34.5" customHeight="1">
      <c r="A88" s="385"/>
      <c r="B88" s="79" t="s">
        <v>302</v>
      </c>
      <c r="C88" s="54"/>
      <c r="D88" s="352" t="s">
        <v>488</v>
      </c>
      <c r="E88" s="353"/>
      <c r="F88" s="354"/>
      <c r="G88" s="52">
        <v>0</v>
      </c>
      <c r="H88" s="52">
        <v>0</v>
      </c>
      <c r="I88" s="52">
        <v>0</v>
      </c>
      <c r="J88" s="52">
        <v>0</v>
      </c>
      <c r="K88" s="52">
        <v>0</v>
      </c>
      <c r="L88" s="52">
        <v>0</v>
      </c>
      <c r="M88" s="164"/>
      <c r="N88" s="52">
        <v>0</v>
      </c>
      <c r="O88" s="169"/>
      <c r="P88" s="373"/>
      <c r="Q88" s="166">
        <f t="shared" si="48"/>
      </c>
      <c r="R88" s="4">
        <f t="shared" si="49"/>
      </c>
      <c r="S88" s="4">
        <f t="shared" si="50"/>
      </c>
      <c r="T88" s="4">
        <f t="shared" si="51"/>
      </c>
      <c r="U88" s="4">
        <f t="shared" si="52"/>
      </c>
      <c r="V88" s="4">
        <f t="shared" si="53"/>
      </c>
      <c r="W88" s="4">
        <f t="shared" si="54"/>
      </c>
      <c r="X88" s="4">
        <f t="shared" si="55"/>
      </c>
      <c r="Y88" s="189">
        <f t="shared" si="56"/>
      </c>
      <c r="Z88" s="199">
        <f t="shared" si="57"/>
      </c>
      <c r="AA88" s="340"/>
    </row>
    <row r="89" spans="1:27" ht="34.5" customHeight="1">
      <c r="A89" s="385"/>
      <c r="B89" s="78" t="s">
        <v>301</v>
      </c>
      <c r="C89" s="55"/>
      <c r="D89" s="352" t="s">
        <v>371</v>
      </c>
      <c r="E89" s="356"/>
      <c r="F89" s="357"/>
      <c r="G89" s="7">
        <v>0.06</v>
      </c>
      <c r="H89" s="7">
        <v>0.06</v>
      </c>
      <c r="I89" s="7">
        <v>0.06</v>
      </c>
      <c r="J89" s="7">
        <v>0.06</v>
      </c>
      <c r="K89" s="7">
        <v>0.06</v>
      </c>
      <c r="L89" s="7">
        <v>0.06</v>
      </c>
      <c r="M89" s="7">
        <v>0.06</v>
      </c>
      <c r="N89" s="7">
        <v>0.06</v>
      </c>
      <c r="O89" s="169"/>
      <c r="P89" s="373"/>
      <c r="Q89" s="166">
        <f t="shared" si="48"/>
      </c>
      <c r="R89" s="4">
        <f t="shared" si="49"/>
      </c>
      <c r="S89" s="4">
        <f t="shared" si="50"/>
      </c>
      <c r="T89" s="4">
        <f t="shared" si="51"/>
      </c>
      <c r="U89" s="4">
        <f t="shared" si="52"/>
      </c>
      <c r="V89" s="4">
        <f t="shared" si="53"/>
      </c>
      <c r="W89" s="4">
        <f t="shared" si="54"/>
      </c>
      <c r="X89" s="4">
        <f t="shared" si="55"/>
      </c>
      <c r="Y89" s="189">
        <f t="shared" si="56"/>
      </c>
      <c r="Z89" s="191">
        <f t="shared" si="57"/>
      </c>
      <c r="AA89" s="340"/>
    </row>
    <row r="90" spans="1:27" ht="34.5" customHeight="1">
      <c r="A90" s="385"/>
      <c r="B90" s="77" t="s">
        <v>303</v>
      </c>
      <c r="C90" s="55"/>
      <c r="D90" s="352" t="s">
        <v>372</v>
      </c>
      <c r="E90" s="356"/>
      <c r="F90" s="357"/>
      <c r="G90" s="7">
        <v>0.14</v>
      </c>
      <c r="H90" s="7">
        <v>0.09</v>
      </c>
      <c r="I90" s="7">
        <v>0.15</v>
      </c>
      <c r="J90" s="7">
        <v>0.15</v>
      </c>
      <c r="K90" s="7">
        <v>0.12</v>
      </c>
      <c r="L90" s="7">
        <v>0.12</v>
      </c>
      <c r="M90" s="7">
        <v>0.11</v>
      </c>
      <c r="N90" s="7">
        <v>0.12</v>
      </c>
      <c r="O90" s="169"/>
      <c r="P90" s="373"/>
      <c r="Q90" s="166">
        <f t="shared" si="48"/>
      </c>
      <c r="R90" s="4">
        <f t="shared" si="49"/>
      </c>
      <c r="S90" s="4">
        <f t="shared" si="50"/>
      </c>
      <c r="T90" s="4">
        <f t="shared" si="51"/>
      </c>
      <c r="U90" s="129">
        <f t="shared" si="52"/>
      </c>
      <c r="V90" s="4">
        <f t="shared" si="53"/>
      </c>
      <c r="W90" s="4">
        <f t="shared" si="54"/>
      </c>
      <c r="X90" s="4">
        <f t="shared" si="55"/>
      </c>
      <c r="Y90" s="189">
        <f t="shared" si="56"/>
      </c>
      <c r="Z90" s="191">
        <f t="shared" si="57"/>
      </c>
      <c r="AA90" s="340"/>
    </row>
    <row r="91" spans="1:27" ht="34.5" customHeight="1">
      <c r="A91" s="385"/>
      <c r="B91" s="78" t="s">
        <v>304</v>
      </c>
      <c r="C91" s="55"/>
      <c r="D91" s="352" t="s">
        <v>373</v>
      </c>
      <c r="E91" s="356"/>
      <c r="F91" s="357"/>
      <c r="G91" s="7">
        <v>0.41</v>
      </c>
      <c r="H91" s="7">
        <v>0.43</v>
      </c>
      <c r="I91" s="7">
        <v>0.32</v>
      </c>
      <c r="J91" s="7">
        <v>0.32</v>
      </c>
      <c r="K91" s="7">
        <v>0.42</v>
      </c>
      <c r="L91" s="7">
        <v>0.34</v>
      </c>
      <c r="M91" s="7">
        <v>0.4</v>
      </c>
      <c r="N91" s="7">
        <v>0.42</v>
      </c>
      <c r="O91" s="169"/>
      <c r="P91" s="373"/>
      <c r="Q91" s="166">
        <f t="shared" si="48"/>
      </c>
      <c r="R91" s="4">
        <f t="shared" si="49"/>
      </c>
      <c r="S91" s="4">
        <f t="shared" si="50"/>
      </c>
      <c r="T91" s="4">
        <f t="shared" si="51"/>
      </c>
      <c r="U91" s="4">
        <f t="shared" si="52"/>
      </c>
      <c r="V91" s="4">
        <f t="shared" si="53"/>
      </c>
      <c r="W91" s="4">
        <f t="shared" si="54"/>
      </c>
      <c r="X91" s="4">
        <f t="shared" si="55"/>
      </c>
      <c r="Y91" s="189">
        <f t="shared" si="56"/>
      </c>
      <c r="Z91" s="191">
        <f t="shared" si="57"/>
      </c>
      <c r="AA91" s="340"/>
    </row>
    <row r="92" spans="1:27" ht="34.5" customHeight="1">
      <c r="A92" s="385"/>
      <c r="B92" s="80" t="s">
        <v>305</v>
      </c>
      <c r="C92" s="55" t="s">
        <v>405</v>
      </c>
      <c r="D92" s="20" t="s">
        <v>461</v>
      </c>
      <c r="E92" s="71" t="s">
        <v>246</v>
      </c>
      <c r="F92" s="19">
        <v>500000</v>
      </c>
      <c r="G92" s="7">
        <v>0.06</v>
      </c>
      <c r="H92" s="7">
        <v>0.06</v>
      </c>
      <c r="I92" s="7">
        <v>0.045</v>
      </c>
      <c r="J92" s="7">
        <v>0.045</v>
      </c>
      <c r="K92" s="7">
        <v>0.045</v>
      </c>
      <c r="L92" s="7">
        <v>0.045</v>
      </c>
      <c r="M92" s="7">
        <v>0.045</v>
      </c>
      <c r="N92" s="7">
        <v>0.045</v>
      </c>
      <c r="O92" s="169"/>
      <c r="P92" s="373"/>
      <c r="Q92" s="168"/>
      <c r="R92" s="164"/>
      <c r="S92" s="164"/>
      <c r="T92" s="164"/>
      <c r="U92" s="164"/>
      <c r="V92" s="164"/>
      <c r="W92" s="164"/>
      <c r="X92" s="164"/>
      <c r="Y92" s="164"/>
      <c r="Z92" s="191" t="str">
        <f t="shared" si="57"/>
        <v>Qc.I.09</v>
      </c>
      <c r="AA92" s="340"/>
    </row>
    <row r="93" spans="1:27" ht="34.5" customHeight="1">
      <c r="A93" s="385"/>
      <c r="B93" s="74" t="s">
        <v>306</v>
      </c>
      <c r="C93" s="55"/>
      <c r="D93" s="20" t="s">
        <v>462</v>
      </c>
      <c r="E93" s="71" t="s">
        <v>246</v>
      </c>
      <c r="F93" s="19">
        <v>500000</v>
      </c>
      <c r="G93" s="7">
        <v>0.045</v>
      </c>
      <c r="H93" s="7">
        <v>0.045</v>
      </c>
      <c r="I93" s="7">
        <v>0.035</v>
      </c>
      <c r="J93" s="7">
        <v>0.035</v>
      </c>
      <c r="K93" s="7">
        <v>0.035</v>
      </c>
      <c r="L93" s="7">
        <v>0.035</v>
      </c>
      <c r="M93" s="7">
        <v>0.035</v>
      </c>
      <c r="N93" s="7">
        <v>0.035</v>
      </c>
      <c r="O93" s="169"/>
      <c r="P93" s="373"/>
      <c r="Q93" s="168"/>
      <c r="R93" s="164"/>
      <c r="S93" s="164"/>
      <c r="T93" s="164"/>
      <c r="U93" s="164"/>
      <c r="V93" s="164"/>
      <c r="W93" s="164"/>
      <c r="X93" s="164"/>
      <c r="Y93" s="164"/>
      <c r="Z93" s="191">
        <f t="shared" si="57"/>
      </c>
      <c r="AA93" s="340"/>
    </row>
    <row r="94" spans="1:27" ht="34.5" customHeight="1">
      <c r="A94" s="385"/>
      <c r="B94" s="77" t="s">
        <v>307</v>
      </c>
      <c r="C94" s="55"/>
      <c r="D94" s="355" t="s">
        <v>374</v>
      </c>
      <c r="E94" s="356"/>
      <c r="F94" s="357"/>
      <c r="G94" s="7">
        <v>0.04</v>
      </c>
      <c r="H94" s="7">
        <v>0.04</v>
      </c>
      <c r="I94" s="7">
        <v>0.04</v>
      </c>
      <c r="J94" s="7">
        <v>0.04</v>
      </c>
      <c r="K94" s="7">
        <v>0.04</v>
      </c>
      <c r="L94" s="7">
        <v>0.04</v>
      </c>
      <c r="M94" s="7">
        <v>0.04</v>
      </c>
      <c r="N94" s="7">
        <v>0.04</v>
      </c>
      <c r="O94" s="169"/>
      <c r="P94" s="373"/>
      <c r="Q94" s="166">
        <f t="shared" si="48"/>
      </c>
      <c r="R94" s="4">
        <f t="shared" si="49"/>
      </c>
      <c r="S94" s="4">
        <f t="shared" si="50"/>
      </c>
      <c r="T94" s="4">
        <f t="shared" si="51"/>
      </c>
      <c r="U94" s="4">
        <f t="shared" si="52"/>
      </c>
      <c r="V94" s="4">
        <f t="shared" si="53"/>
      </c>
      <c r="W94" s="4">
        <f t="shared" si="54"/>
      </c>
      <c r="X94" s="4">
        <f t="shared" si="55"/>
      </c>
      <c r="Y94" s="189">
        <f>IF($C94="SI",O94,"")</f>
      </c>
      <c r="Z94" s="191">
        <f t="shared" si="57"/>
      </c>
      <c r="AA94" s="340"/>
    </row>
    <row r="95" spans="1:27" ht="34.5" customHeight="1">
      <c r="A95" s="385"/>
      <c r="B95" s="78" t="s">
        <v>308</v>
      </c>
      <c r="C95" s="55" t="s">
        <v>405</v>
      </c>
      <c r="D95" s="377" t="s">
        <v>375</v>
      </c>
      <c r="E95" s="378"/>
      <c r="F95" s="379"/>
      <c r="G95" s="7">
        <v>0.25</v>
      </c>
      <c r="H95" s="7">
        <v>0.25</v>
      </c>
      <c r="I95" s="7">
        <v>0.25</v>
      </c>
      <c r="J95" s="7">
        <v>0.25</v>
      </c>
      <c r="K95" s="7">
        <v>0.25</v>
      </c>
      <c r="L95" s="7">
        <v>0.25</v>
      </c>
      <c r="M95" s="7">
        <v>0.25</v>
      </c>
      <c r="N95" s="7">
        <v>0.25</v>
      </c>
      <c r="O95" s="169"/>
      <c r="P95" s="373"/>
      <c r="Q95" s="166">
        <f t="shared" si="48"/>
        <v>0.25</v>
      </c>
      <c r="R95" s="4">
        <f t="shared" si="49"/>
        <v>0.25</v>
      </c>
      <c r="S95" s="4">
        <f t="shared" si="50"/>
        <v>0.25</v>
      </c>
      <c r="T95" s="4">
        <f t="shared" si="51"/>
        <v>0.25</v>
      </c>
      <c r="U95" s="4">
        <f t="shared" si="52"/>
        <v>0.25</v>
      </c>
      <c r="V95" s="4">
        <f t="shared" si="53"/>
        <v>0.25</v>
      </c>
      <c r="W95" s="4">
        <f t="shared" si="54"/>
        <v>0.25</v>
      </c>
      <c r="X95" s="4">
        <f t="shared" si="55"/>
        <v>0.25</v>
      </c>
      <c r="Y95" s="189">
        <f>IF($C95="SI",O95,"")</f>
        <v>0</v>
      </c>
      <c r="Z95" s="230" t="str">
        <f t="shared" si="57"/>
        <v>Qc.I.12</v>
      </c>
      <c r="AA95" s="340"/>
    </row>
    <row r="96" spans="1:27" ht="34.5" customHeight="1" thickBot="1">
      <c r="A96" s="386"/>
      <c r="B96" s="77" t="s">
        <v>309</v>
      </c>
      <c r="C96" s="55"/>
      <c r="D96" s="352" t="s">
        <v>376</v>
      </c>
      <c r="E96" s="356"/>
      <c r="F96" s="357"/>
      <c r="G96" s="7">
        <v>0.04</v>
      </c>
      <c r="H96" s="7">
        <v>0.04</v>
      </c>
      <c r="I96" s="7">
        <v>0.04</v>
      </c>
      <c r="J96" s="7">
        <v>0.04</v>
      </c>
      <c r="K96" s="7">
        <v>0.04</v>
      </c>
      <c r="L96" s="7">
        <v>0.04</v>
      </c>
      <c r="M96" s="7">
        <v>0.04</v>
      </c>
      <c r="N96" s="7">
        <v>0.04</v>
      </c>
      <c r="O96" s="169"/>
      <c r="P96" s="373"/>
      <c r="Q96" s="166">
        <f t="shared" si="48"/>
      </c>
      <c r="R96" s="4">
        <f t="shared" si="49"/>
      </c>
      <c r="S96" s="4">
        <f t="shared" si="50"/>
      </c>
      <c r="T96" s="4">
        <f t="shared" si="51"/>
      </c>
      <c r="U96" s="4">
        <f t="shared" si="52"/>
      </c>
      <c r="V96" s="4">
        <f t="shared" si="53"/>
      </c>
      <c r="W96" s="4">
        <f t="shared" si="54"/>
      </c>
      <c r="X96" s="4">
        <f t="shared" si="55"/>
      </c>
      <c r="Y96" s="189">
        <f>IF($C96="SI",O96,"")</f>
      </c>
      <c r="Z96" s="192">
        <f t="shared" si="57"/>
      </c>
      <c r="AA96" s="341"/>
    </row>
    <row r="97" spans="1:28" ht="34.5" customHeight="1" thickBot="1">
      <c r="A97" s="104"/>
      <c r="B97" s="105"/>
      <c r="C97" s="283"/>
      <c r="D97" s="107" t="s">
        <v>428</v>
      </c>
      <c r="E97" s="365" t="s">
        <v>448</v>
      </c>
      <c r="F97" s="366"/>
      <c r="G97" s="108">
        <f aca="true" t="shared" si="58" ref="G97:N97">SUM(G83:G96)</f>
        <v>1.5350000000000001</v>
      </c>
      <c r="H97" s="108">
        <f t="shared" si="58"/>
        <v>1.5550000000000002</v>
      </c>
      <c r="I97" s="108">
        <f t="shared" si="58"/>
        <v>1.43</v>
      </c>
      <c r="J97" s="108">
        <f t="shared" si="58"/>
        <v>1.5599999999999998</v>
      </c>
      <c r="K97" s="108">
        <f t="shared" si="58"/>
        <v>1.5999999999999999</v>
      </c>
      <c r="L97" s="108">
        <f t="shared" si="58"/>
        <v>1.5299999999999998</v>
      </c>
      <c r="M97" s="108">
        <f t="shared" si="58"/>
        <v>1.5</v>
      </c>
      <c r="N97" s="108">
        <f t="shared" si="58"/>
        <v>1.29</v>
      </c>
      <c r="O97" s="177"/>
      <c r="P97" s="373"/>
      <c r="Q97" s="170">
        <f aca="true" t="shared" si="59" ref="Q97:Y97">SUM(Q83:Q96)</f>
        <v>0.62</v>
      </c>
      <c r="R97" s="110">
        <f t="shared" si="59"/>
        <v>0.67</v>
      </c>
      <c r="S97" s="110">
        <f t="shared" si="59"/>
        <v>0.62</v>
      </c>
      <c r="T97" s="110">
        <f t="shared" si="59"/>
        <v>0.75</v>
      </c>
      <c r="U97" s="110">
        <f t="shared" si="59"/>
        <v>0.72</v>
      </c>
      <c r="V97" s="110">
        <f t="shared" si="59"/>
        <v>0.73</v>
      </c>
      <c r="W97" s="110">
        <f t="shared" si="59"/>
        <v>0.65</v>
      </c>
      <c r="X97" s="110">
        <f t="shared" si="59"/>
        <v>0.41000000000000003</v>
      </c>
      <c r="Y97" s="111">
        <f t="shared" si="59"/>
        <v>0</v>
      </c>
      <c r="Z97" s="198">
        <f>SUM(Q97:Y97)</f>
        <v>5.17</v>
      </c>
      <c r="AA97" s="203" t="str">
        <f>CONCATENATE($Z83," ",$Z84," ",$Z85," ",$Z86," ",$Z87," ",$Z89," ",$Z90," ",$Z91," ",$Z92," ",$Z93," ",$Z94," ",$Z95," ",$Z96)</f>
        <v>Qc.I.01 Qc.I.02 Qc.I.03      Qc.I.09   Qc.I.12 </v>
      </c>
      <c r="AB97" s="232" t="str">
        <f>CONCATENATE($Z83," ",$Z84," ",$Z85," ",$Z86," ",$Z87," ",$Z89," ",$Z90," ",$Z91," ",$Z92," ",$Z93," ",$Z94," ",$Z96)</f>
        <v>Qc.I.01 Qc.I.02 Qc.I.03      Qc.I.09   </v>
      </c>
    </row>
    <row r="98" spans="1:27" ht="34.5" customHeight="1">
      <c r="A98" s="367" t="s">
        <v>310</v>
      </c>
      <c r="B98" s="102" t="s">
        <v>377</v>
      </c>
      <c r="C98" s="187"/>
      <c r="D98" s="362" t="s">
        <v>378</v>
      </c>
      <c r="E98" s="363"/>
      <c r="F98" s="364"/>
      <c r="G98" s="87">
        <v>0.08</v>
      </c>
      <c r="H98" s="87">
        <v>0.08</v>
      </c>
      <c r="I98" s="87">
        <v>0.08</v>
      </c>
      <c r="J98" s="87">
        <v>0.08</v>
      </c>
      <c r="K98" s="87">
        <v>0.08</v>
      </c>
      <c r="L98" s="87">
        <v>0.08</v>
      </c>
      <c r="M98" s="87">
        <v>0.08</v>
      </c>
      <c r="N98" s="87">
        <v>0.08</v>
      </c>
      <c r="O98" s="176"/>
      <c r="P98" s="373"/>
      <c r="Q98" s="165">
        <f aca="true" t="shared" si="60" ref="Q98:Y102">IF($C98="SI",G98,"")</f>
      </c>
      <c r="R98" s="109">
        <f t="shared" si="60"/>
      </c>
      <c r="S98" s="109">
        <f t="shared" si="60"/>
      </c>
      <c r="T98" s="109">
        <f t="shared" si="60"/>
      </c>
      <c r="U98" s="109">
        <f t="shared" si="60"/>
      </c>
      <c r="V98" s="109">
        <f t="shared" si="60"/>
      </c>
      <c r="W98" s="109">
        <f t="shared" si="60"/>
      </c>
      <c r="X98" s="109">
        <f t="shared" si="60"/>
      </c>
      <c r="Y98" s="185">
        <f t="shared" si="60"/>
      </c>
      <c r="Z98" s="190">
        <f>IF($C98="SI",B98,"")</f>
      </c>
      <c r="AA98" s="342" t="s">
        <v>503</v>
      </c>
    </row>
    <row r="99" spans="1:27" ht="34.5" customHeight="1">
      <c r="A99" s="368"/>
      <c r="B99" s="74" t="s">
        <v>379</v>
      </c>
      <c r="C99" s="187"/>
      <c r="D99" s="352" t="s">
        <v>380</v>
      </c>
      <c r="E99" s="353"/>
      <c r="F99" s="354"/>
      <c r="G99" s="7">
        <v>0.02</v>
      </c>
      <c r="H99" s="7">
        <v>0.02</v>
      </c>
      <c r="I99" s="7">
        <v>0.02</v>
      </c>
      <c r="J99" s="7">
        <v>0.02</v>
      </c>
      <c r="K99" s="7">
        <v>0.02</v>
      </c>
      <c r="L99" s="7">
        <v>0.02</v>
      </c>
      <c r="M99" s="7">
        <v>0.02</v>
      </c>
      <c r="N99" s="7">
        <v>0.02</v>
      </c>
      <c r="O99" s="169"/>
      <c r="P99" s="373"/>
      <c r="Q99" s="166">
        <f t="shared" si="60"/>
      </c>
      <c r="R99" s="4">
        <f t="shared" si="60"/>
      </c>
      <c r="S99" s="4">
        <f t="shared" si="60"/>
      </c>
      <c r="T99" s="4">
        <f t="shared" si="60"/>
      </c>
      <c r="U99" s="4">
        <f t="shared" si="60"/>
      </c>
      <c r="V99" s="4">
        <f t="shared" si="60"/>
      </c>
      <c r="W99" s="4">
        <f t="shared" si="60"/>
      </c>
      <c r="X99" s="4">
        <f t="shared" si="60"/>
      </c>
      <c r="Y99" s="189">
        <f t="shared" si="60"/>
      </c>
      <c r="Z99" s="191">
        <f>IF($C99="SI",B99,"")</f>
      </c>
      <c r="AA99" s="343"/>
    </row>
    <row r="100" spans="1:27" ht="34.5" customHeight="1">
      <c r="A100" s="368"/>
      <c r="B100" s="73" t="s">
        <v>381</v>
      </c>
      <c r="C100" s="187"/>
      <c r="D100" s="352" t="s">
        <v>382</v>
      </c>
      <c r="E100" s="353"/>
      <c r="F100" s="354"/>
      <c r="G100" s="164"/>
      <c r="H100" s="7">
        <v>0.22</v>
      </c>
      <c r="I100" s="164"/>
      <c r="J100" s="164"/>
      <c r="K100" s="164"/>
      <c r="L100" s="164"/>
      <c r="M100" s="164"/>
      <c r="N100" s="164"/>
      <c r="O100" s="169"/>
      <c r="P100" s="373"/>
      <c r="Q100" s="166">
        <f t="shared" si="60"/>
      </c>
      <c r="R100" s="4">
        <f t="shared" si="60"/>
      </c>
      <c r="S100" s="4">
        <f t="shared" si="60"/>
      </c>
      <c r="T100" s="4">
        <f t="shared" si="60"/>
      </c>
      <c r="U100" s="4">
        <f t="shared" si="60"/>
      </c>
      <c r="V100" s="4">
        <f t="shared" si="60"/>
      </c>
      <c r="W100" s="4">
        <f t="shared" si="60"/>
      </c>
      <c r="X100" s="4">
        <f t="shared" si="60"/>
      </c>
      <c r="Y100" s="189">
        <f t="shared" si="60"/>
      </c>
      <c r="Z100" s="191">
        <f>IF($C100="SI",B100,"")</f>
      </c>
      <c r="AA100" s="343"/>
    </row>
    <row r="101" spans="1:27" ht="34.5" customHeight="1">
      <c r="A101" s="368"/>
      <c r="B101" s="74" t="s">
        <v>383</v>
      </c>
      <c r="C101" s="187"/>
      <c r="D101" s="352" t="s">
        <v>384</v>
      </c>
      <c r="E101" s="380"/>
      <c r="F101" s="381"/>
      <c r="G101" s="164"/>
      <c r="H101" s="164"/>
      <c r="I101" s="7">
        <v>0.18</v>
      </c>
      <c r="J101" s="7">
        <v>0.18</v>
      </c>
      <c r="K101" s="164"/>
      <c r="L101" s="7">
        <v>0.18</v>
      </c>
      <c r="M101" s="164"/>
      <c r="N101" s="164"/>
      <c r="O101" s="169"/>
      <c r="P101" s="373"/>
      <c r="Q101" s="166">
        <f t="shared" si="60"/>
      </c>
      <c r="R101" s="4">
        <f t="shared" si="60"/>
      </c>
      <c r="S101" s="4">
        <f t="shared" si="60"/>
      </c>
      <c r="T101" s="4">
        <f t="shared" si="60"/>
      </c>
      <c r="U101" s="4">
        <f t="shared" si="60"/>
      </c>
      <c r="V101" s="4">
        <f t="shared" si="60"/>
      </c>
      <c r="W101" s="4">
        <f t="shared" si="60"/>
      </c>
      <c r="X101" s="4">
        <f t="shared" si="60"/>
      </c>
      <c r="Y101" s="189">
        <f t="shared" si="60"/>
      </c>
      <c r="Z101" s="191">
        <f>IF($C101="SI",B101,"")</f>
      </c>
      <c r="AA101" s="343"/>
    </row>
    <row r="102" spans="1:27" ht="34.5" customHeight="1" thickBot="1">
      <c r="A102" s="369"/>
      <c r="B102" s="73" t="s">
        <v>385</v>
      </c>
      <c r="C102" s="187"/>
      <c r="D102" s="352" t="s">
        <v>386</v>
      </c>
      <c r="E102" s="380"/>
      <c r="F102" s="381"/>
      <c r="G102" s="7">
        <v>0.03</v>
      </c>
      <c r="H102" s="7">
        <v>0.03</v>
      </c>
      <c r="I102" s="7">
        <v>0.03</v>
      </c>
      <c r="J102" s="7">
        <v>0.03</v>
      </c>
      <c r="K102" s="164"/>
      <c r="L102" s="164"/>
      <c r="M102" s="164"/>
      <c r="N102" s="164"/>
      <c r="O102" s="169"/>
      <c r="P102" s="373"/>
      <c r="Q102" s="166">
        <f t="shared" si="60"/>
      </c>
      <c r="R102" s="4">
        <f t="shared" si="60"/>
      </c>
      <c r="S102" s="4">
        <f t="shared" si="60"/>
      </c>
      <c r="T102" s="4">
        <f t="shared" si="60"/>
      </c>
      <c r="U102" s="4">
        <f t="shared" si="60"/>
      </c>
      <c r="V102" s="4">
        <f t="shared" si="60"/>
      </c>
      <c r="W102" s="4">
        <f t="shared" si="60"/>
      </c>
      <c r="X102" s="4">
        <f t="shared" si="60"/>
      </c>
      <c r="Y102" s="189">
        <f t="shared" si="60"/>
      </c>
      <c r="Z102" s="191">
        <f>IF($C102="SI",B102,"")</f>
      </c>
      <c r="AA102" s="343"/>
    </row>
    <row r="103" spans="1:27" ht="34.5" customHeight="1" thickBot="1">
      <c r="A103" s="104"/>
      <c r="B103" s="105"/>
      <c r="C103" s="106"/>
      <c r="D103" s="107" t="s">
        <v>428</v>
      </c>
      <c r="E103" s="365" t="s">
        <v>450</v>
      </c>
      <c r="F103" s="366"/>
      <c r="G103" s="108">
        <f>SUM(G98:G102)</f>
        <v>0.13</v>
      </c>
      <c r="H103" s="108">
        <f aca="true" t="shared" si="61" ref="H103:N103">SUM(H98:H102)</f>
        <v>0.35</v>
      </c>
      <c r="I103" s="108">
        <f t="shared" si="61"/>
        <v>0.31000000000000005</v>
      </c>
      <c r="J103" s="108">
        <f t="shared" si="61"/>
        <v>0.31000000000000005</v>
      </c>
      <c r="K103" s="108">
        <f t="shared" si="61"/>
        <v>0.1</v>
      </c>
      <c r="L103" s="108">
        <f t="shared" si="61"/>
        <v>0.28</v>
      </c>
      <c r="M103" s="108">
        <f t="shared" si="61"/>
        <v>0.1</v>
      </c>
      <c r="N103" s="108">
        <f t="shared" si="61"/>
        <v>0.1</v>
      </c>
      <c r="O103" s="177"/>
      <c r="P103" s="373"/>
      <c r="Q103" s="171">
        <f>SUM(Q98:Q102)</f>
        <v>0</v>
      </c>
      <c r="R103" s="110">
        <f aca="true" t="shared" si="62" ref="R103:Y103">SUM(R98:R102)</f>
        <v>0</v>
      </c>
      <c r="S103" s="110">
        <f t="shared" si="62"/>
        <v>0</v>
      </c>
      <c r="T103" s="110">
        <f t="shared" si="62"/>
        <v>0</v>
      </c>
      <c r="U103" s="110">
        <f t="shared" si="62"/>
        <v>0</v>
      </c>
      <c r="V103" s="110">
        <f t="shared" si="62"/>
        <v>0</v>
      </c>
      <c r="W103" s="110">
        <f t="shared" si="62"/>
        <v>0</v>
      </c>
      <c r="X103" s="110">
        <f t="shared" si="62"/>
        <v>0</v>
      </c>
      <c r="Y103" s="197">
        <f t="shared" si="62"/>
        <v>0</v>
      </c>
      <c r="Z103" s="201">
        <f>SUM(Q103:Y103)</f>
        <v>0</v>
      </c>
      <c r="AA103" s="193" t="str">
        <f>CONCATENATE(Z98," ",Z99," ",Z100," ",Z101," ",Z102)</f>
        <v>    </v>
      </c>
    </row>
    <row r="104" spans="1:27" ht="39.75" customHeight="1">
      <c r="A104" s="382" t="s">
        <v>311</v>
      </c>
      <c r="B104" s="102" t="s">
        <v>387</v>
      </c>
      <c r="C104" s="290"/>
      <c r="D104" s="362" t="s">
        <v>388</v>
      </c>
      <c r="E104" s="363"/>
      <c r="F104" s="364"/>
      <c r="G104" s="163"/>
      <c r="H104" s="163"/>
      <c r="I104" s="163"/>
      <c r="J104" s="163"/>
      <c r="K104" s="163"/>
      <c r="L104" s="163"/>
      <c r="M104" s="163"/>
      <c r="N104" s="103">
        <v>0.002</v>
      </c>
      <c r="O104" s="178">
        <v>0.0015</v>
      </c>
      <c r="P104" s="373"/>
      <c r="Q104" s="165">
        <f aca="true" t="shared" si="63" ref="Q104:Y105">IF($C104="SI",G104,"")</f>
      </c>
      <c r="R104" s="109">
        <f t="shared" si="63"/>
      </c>
      <c r="S104" s="109">
        <f t="shared" si="63"/>
      </c>
      <c r="T104" s="109">
        <f t="shared" si="63"/>
      </c>
      <c r="U104" s="109">
        <f t="shared" si="63"/>
      </c>
      <c r="V104" s="109">
        <f t="shared" si="63"/>
      </c>
      <c r="W104" s="109">
        <f t="shared" si="63"/>
      </c>
      <c r="X104" s="109">
        <f t="shared" si="63"/>
      </c>
      <c r="Y104" s="185">
        <f t="shared" si="63"/>
      </c>
      <c r="Z104" s="196">
        <f>IF($C104="SI",B104,"")</f>
      </c>
      <c r="AA104" s="344" t="s">
        <v>511</v>
      </c>
    </row>
    <row r="105" spans="1:27" ht="60" customHeight="1" thickBot="1">
      <c r="A105" s="383"/>
      <c r="B105" s="74" t="s">
        <v>389</v>
      </c>
      <c r="C105" s="291"/>
      <c r="D105" s="352" t="s">
        <v>390</v>
      </c>
      <c r="E105" s="353"/>
      <c r="F105" s="354"/>
      <c r="G105" s="164"/>
      <c r="H105" s="164"/>
      <c r="I105" s="164"/>
      <c r="J105" s="164"/>
      <c r="K105" s="164"/>
      <c r="L105" s="164"/>
      <c r="M105" s="164"/>
      <c r="N105" s="7">
        <v>0.022</v>
      </c>
      <c r="O105" s="169"/>
      <c r="P105" s="373"/>
      <c r="Q105" s="166">
        <f t="shared" si="63"/>
      </c>
      <c r="R105" s="4">
        <f t="shared" si="63"/>
      </c>
      <c r="S105" s="4">
        <f t="shared" si="63"/>
      </c>
      <c r="T105" s="4">
        <f t="shared" si="63"/>
      </c>
      <c r="U105" s="4">
        <f t="shared" si="63"/>
      </c>
      <c r="V105" s="4">
        <f t="shared" si="63"/>
      </c>
      <c r="W105" s="4">
        <f t="shared" si="63"/>
      </c>
      <c r="X105" s="4">
        <f t="shared" si="63"/>
      </c>
      <c r="Y105" s="189">
        <f t="shared" si="63"/>
      </c>
      <c r="Z105" s="191">
        <f>IF($C105="SI",B105,"")</f>
      </c>
      <c r="AA105" s="340"/>
    </row>
    <row r="106" spans="1:27" ht="34.5" customHeight="1" thickBot="1">
      <c r="A106" s="104"/>
      <c r="B106" s="105"/>
      <c r="C106" s="106"/>
      <c r="D106" s="107" t="s">
        <v>428</v>
      </c>
      <c r="E106" s="365" t="s">
        <v>449</v>
      </c>
      <c r="F106" s="366"/>
      <c r="G106" s="108">
        <f>SUM(G104:G105)</f>
        <v>0</v>
      </c>
      <c r="H106" s="108">
        <f aca="true" t="shared" si="64" ref="H106:Y106">SUM(H104:H105)</f>
        <v>0</v>
      </c>
      <c r="I106" s="108">
        <f t="shared" si="64"/>
        <v>0</v>
      </c>
      <c r="J106" s="108">
        <f t="shared" si="64"/>
        <v>0</v>
      </c>
      <c r="K106" s="108">
        <f t="shared" si="64"/>
        <v>0</v>
      </c>
      <c r="L106" s="108">
        <f t="shared" si="64"/>
        <v>0</v>
      </c>
      <c r="M106" s="108">
        <f t="shared" si="64"/>
        <v>0</v>
      </c>
      <c r="N106" s="108">
        <f t="shared" si="64"/>
        <v>0.024</v>
      </c>
      <c r="O106" s="179">
        <f t="shared" si="64"/>
        <v>0.0015</v>
      </c>
      <c r="P106" s="374"/>
      <c r="Q106" s="171">
        <f t="shared" si="64"/>
        <v>0</v>
      </c>
      <c r="R106" s="172">
        <f t="shared" si="64"/>
        <v>0</v>
      </c>
      <c r="S106" s="172">
        <f t="shared" si="64"/>
        <v>0</v>
      </c>
      <c r="T106" s="172">
        <f t="shared" si="64"/>
        <v>0</v>
      </c>
      <c r="U106" s="172">
        <f t="shared" si="64"/>
        <v>0</v>
      </c>
      <c r="V106" s="172">
        <f t="shared" si="64"/>
        <v>0</v>
      </c>
      <c r="W106" s="172">
        <f t="shared" si="64"/>
        <v>0</v>
      </c>
      <c r="X106" s="172">
        <f t="shared" si="64"/>
        <v>0</v>
      </c>
      <c r="Y106" s="202">
        <f t="shared" si="64"/>
        <v>0</v>
      </c>
      <c r="Z106" s="201">
        <f>SUM(Q106:Y106)</f>
        <v>0</v>
      </c>
      <c r="AA106" s="193" t="str">
        <f>CONCATENATE(Z104," ",Z105)</f>
        <v> </v>
      </c>
    </row>
    <row r="107" spans="1:25" ht="33" customHeight="1" thickBot="1">
      <c r="A107" s="1"/>
      <c r="B107" s="3"/>
      <c r="C107" s="3"/>
      <c r="D107" s="2"/>
      <c r="E107" s="2"/>
      <c r="F107" s="2"/>
      <c r="M107" s="419" t="s">
        <v>489</v>
      </c>
      <c r="N107" s="420"/>
      <c r="O107" s="420"/>
      <c r="P107" s="421"/>
      <c r="Q107" s="120">
        <f>SUM(Q106,Q103,Q97,Q82,Q70,Q38,Q13)</f>
        <v>0.62</v>
      </c>
      <c r="R107" s="121">
        <f aca="true" t="shared" si="65" ref="R107:Y107">SUM(R106,R103,R97,R82,R70,R38,R13)</f>
        <v>0.67</v>
      </c>
      <c r="S107" s="121">
        <f t="shared" si="65"/>
        <v>0.62</v>
      </c>
      <c r="T107" s="121">
        <f t="shared" si="65"/>
        <v>0.75</v>
      </c>
      <c r="U107" s="121">
        <f t="shared" si="65"/>
        <v>0.72</v>
      </c>
      <c r="V107" s="121">
        <f t="shared" si="65"/>
        <v>0.73</v>
      </c>
      <c r="W107" s="121">
        <f t="shared" si="65"/>
        <v>0.65</v>
      </c>
      <c r="X107" s="121">
        <f t="shared" si="65"/>
        <v>0.41000000000000003</v>
      </c>
      <c r="Y107" s="122">
        <f t="shared" si="65"/>
        <v>0</v>
      </c>
    </row>
    <row r="108" spans="1:25" ht="159.75" customHeight="1" thickBot="1">
      <c r="A108" s="1"/>
      <c r="B108" s="3"/>
      <c r="C108" s="329" t="s">
        <v>548</v>
      </c>
      <c r="D108" s="330"/>
      <c r="E108" s="330"/>
      <c r="F108" s="330"/>
      <c r="G108" s="330"/>
      <c r="H108" s="330"/>
      <c r="I108" s="330"/>
      <c r="Q108" s="173" t="s">
        <v>208</v>
      </c>
      <c r="R108" s="174" t="s">
        <v>209</v>
      </c>
      <c r="S108" s="417" t="s">
        <v>210</v>
      </c>
      <c r="T108" s="418"/>
      <c r="U108" s="174" t="s">
        <v>211</v>
      </c>
      <c r="V108" s="174" t="s">
        <v>212</v>
      </c>
      <c r="W108" s="174" t="s">
        <v>213</v>
      </c>
      <c r="X108" s="174" t="s">
        <v>470</v>
      </c>
      <c r="Y108" s="175" t="s">
        <v>214</v>
      </c>
    </row>
    <row r="109" spans="2:9" ht="12.75">
      <c r="B109" s="3"/>
      <c r="C109" s="3"/>
      <c r="I109" s="278"/>
    </row>
    <row r="110" spans="2:9" ht="12.75">
      <c r="B110" s="3"/>
      <c r="C110" s="3"/>
      <c r="I110" s="278"/>
    </row>
    <row r="111" spans="2:9" ht="12.75">
      <c r="B111" s="3"/>
      <c r="C111" s="3"/>
      <c r="I111" s="277"/>
    </row>
    <row r="112" spans="2:3" ht="12.75">
      <c r="B112" s="3"/>
      <c r="C112" s="3"/>
    </row>
    <row r="113" spans="2:3" ht="12.75">
      <c r="B113" s="3"/>
      <c r="C113" s="3"/>
    </row>
    <row r="114" spans="2:3" ht="12.75">
      <c r="B114" s="3"/>
      <c r="C114" s="3"/>
    </row>
    <row r="115" ht="12.75">
      <c r="C115" s="3"/>
    </row>
    <row r="116" ht="12.75">
      <c r="C116" s="3"/>
    </row>
    <row r="117" ht="12.75">
      <c r="C117" s="3"/>
    </row>
    <row r="118" ht="12.75">
      <c r="C118" s="3"/>
    </row>
    <row r="119" ht="12.75">
      <c r="C119" s="3"/>
    </row>
    <row r="120" ht="12.75">
      <c r="C120" s="3"/>
    </row>
  </sheetData>
  <sheetProtection/>
  <mergeCells count="130">
    <mergeCell ref="S108:T108"/>
    <mergeCell ref="M107:P107"/>
    <mergeCell ref="D26:F26"/>
    <mergeCell ref="D36:F36"/>
    <mergeCell ref="D37:F37"/>
    <mergeCell ref="B65:B67"/>
    <mergeCell ref="D65:D67"/>
    <mergeCell ref="C62:C64"/>
    <mergeCell ref="C65:C67"/>
    <mergeCell ref="B62:B64"/>
    <mergeCell ref="D100:F100"/>
    <mergeCell ref="D24:F24"/>
    <mergeCell ref="D62:D64"/>
    <mergeCell ref="D48:F48"/>
    <mergeCell ref="D49:F49"/>
    <mergeCell ref="D53:F53"/>
    <mergeCell ref="D54:F54"/>
    <mergeCell ref="D88:F88"/>
    <mergeCell ref="D78:F78"/>
    <mergeCell ref="D25:F25"/>
    <mergeCell ref="C33:C35"/>
    <mergeCell ref="B30:B32"/>
    <mergeCell ref="D30:D32"/>
    <mergeCell ref="B33:B35"/>
    <mergeCell ref="D33:D35"/>
    <mergeCell ref="D46:F46"/>
    <mergeCell ref="D45:F45"/>
    <mergeCell ref="D43:F43"/>
    <mergeCell ref="D12:F12"/>
    <mergeCell ref="C30:C32"/>
    <mergeCell ref="D29:F29"/>
    <mergeCell ref="D21:F21"/>
    <mergeCell ref="D22:F22"/>
    <mergeCell ref="D23:F23"/>
    <mergeCell ref="D1:F1"/>
    <mergeCell ref="D14:F14"/>
    <mergeCell ref="E2:F2"/>
    <mergeCell ref="D15:F15"/>
    <mergeCell ref="D16:F16"/>
    <mergeCell ref="D44:F44"/>
    <mergeCell ref="D17:F17"/>
    <mergeCell ref="D9:F9"/>
    <mergeCell ref="D10:F10"/>
    <mergeCell ref="D11:F11"/>
    <mergeCell ref="D51:F51"/>
    <mergeCell ref="D18:F18"/>
    <mergeCell ref="D19:F19"/>
    <mergeCell ref="D20:F20"/>
    <mergeCell ref="D27:F27"/>
    <mergeCell ref="D28:F28"/>
    <mergeCell ref="D71:F71"/>
    <mergeCell ref="D72:F72"/>
    <mergeCell ref="D73:F73"/>
    <mergeCell ref="D74:F74"/>
    <mergeCell ref="A39:A69"/>
    <mergeCell ref="D39:F39"/>
    <mergeCell ref="D40:F40"/>
    <mergeCell ref="D41:F41"/>
    <mergeCell ref="D42:F42"/>
    <mergeCell ref="D47:F47"/>
    <mergeCell ref="D77:F77"/>
    <mergeCell ref="D58:F58"/>
    <mergeCell ref="D59:F59"/>
    <mergeCell ref="D99:F99"/>
    <mergeCell ref="A104:A105"/>
    <mergeCell ref="D91:F91"/>
    <mergeCell ref="D94:F94"/>
    <mergeCell ref="A83:A96"/>
    <mergeCell ref="D83:F83"/>
    <mergeCell ref="A71:A81"/>
    <mergeCell ref="D101:F101"/>
    <mergeCell ref="D60:F60"/>
    <mergeCell ref="D61:F61"/>
    <mergeCell ref="D52:F52"/>
    <mergeCell ref="D55:F55"/>
    <mergeCell ref="D102:F102"/>
    <mergeCell ref="D81:F81"/>
    <mergeCell ref="D57:F57"/>
    <mergeCell ref="D68:F68"/>
    <mergeCell ref="D69:F69"/>
    <mergeCell ref="S1:T1"/>
    <mergeCell ref="E70:F70"/>
    <mergeCell ref="E38:F38"/>
    <mergeCell ref="D8:F8"/>
    <mergeCell ref="P1:P106"/>
    <mergeCell ref="D104:F104"/>
    <mergeCell ref="D105:F105"/>
    <mergeCell ref="I1:J1"/>
    <mergeCell ref="D95:F95"/>
    <mergeCell ref="D85:F85"/>
    <mergeCell ref="E106:F106"/>
    <mergeCell ref="E13:F13"/>
    <mergeCell ref="E103:F103"/>
    <mergeCell ref="D84:F84"/>
    <mergeCell ref="D96:F96"/>
    <mergeCell ref="A98:A102"/>
    <mergeCell ref="E82:F82"/>
    <mergeCell ref="E97:F97"/>
    <mergeCell ref="D56:F56"/>
    <mergeCell ref="D98:F98"/>
    <mergeCell ref="D87:F87"/>
    <mergeCell ref="A14:A37"/>
    <mergeCell ref="D89:F89"/>
    <mergeCell ref="D90:F90"/>
    <mergeCell ref="D76:F76"/>
    <mergeCell ref="A3:A5"/>
    <mergeCell ref="D3:F3"/>
    <mergeCell ref="D4:F4"/>
    <mergeCell ref="D5:F5"/>
    <mergeCell ref="D75:F75"/>
    <mergeCell ref="AA9:AA10"/>
    <mergeCell ref="AA14:AA36"/>
    <mergeCell ref="A9:A11"/>
    <mergeCell ref="D6:F6"/>
    <mergeCell ref="D7:F7"/>
    <mergeCell ref="D86:F86"/>
    <mergeCell ref="A6:A8"/>
    <mergeCell ref="D79:F79"/>
    <mergeCell ref="D80:F80"/>
    <mergeCell ref="D50:F50"/>
    <mergeCell ref="C108:I108"/>
    <mergeCell ref="Z1:Z2"/>
    <mergeCell ref="AA1:AA2"/>
    <mergeCell ref="AA39:AA68"/>
    <mergeCell ref="AA71:AA81"/>
    <mergeCell ref="AA83:AA96"/>
    <mergeCell ref="AA98:AA102"/>
    <mergeCell ref="AA104:AA105"/>
    <mergeCell ref="AA3:AA4"/>
    <mergeCell ref="AA6:AA7"/>
  </mergeCells>
  <dataValidations count="1">
    <dataValidation type="list" allowBlank="1" showInputMessage="1" showErrorMessage="1" sqref="C83:C96 C25:C37 C14:C23 C3:C12 C104:C105 C39:C50 C52:C69 C71:C81 C98:C102">
      <formula1>$A$2:$B$2</formula1>
    </dataValidation>
  </dataValidations>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Foglio7">
    <tabColor theme="4" tint="0.39998000860214233"/>
  </sheetPr>
  <dimension ref="B1:AL66"/>
  <sheetViews>
    <sheetView tabSelected="1" zoomScalePageLayoutView="0" workbookViewId="0" topLeftCell="A1">
      <selection activeCell="E15" sqref="E15"/>
    </sheetView>
  </sheetViews>
  <sheetFormatPr defaultColWidth="9.140625" defaultRowHeight="12.75"/>
  <cols>
    <col min="1" max="1" width="2.28125" style="11" customWidth="1"/>
    <col min="2" max="2" width="3.8515625" style="11" customWidth="1"/>
    <col min="3" max="3" width="6.28125" style="11" customWidth="1"/>
    <col min="4" max="4" width="6.57421875" style="11" customWidth="1"/>
    <col min="5" max="5" width="13.421875" style="11" customWidth="1"/>
    <col min="6" max="6" width="11.00390625" style="11" customWidth="1"/>
    <col min="7" max="7" width="9.00390625" style="11" customWidth="1"/>
    <col min="8" max="8" width="14.421875" style="11" customWidth="1"/>
    <col min="9" max="9" width="6.28125" style="11" customWidth="1"/>
    <col min="10" max="10" width="6.00390625" style="11" customWidth="1"/>
    <col min="11" max="11" width="5.7109375" style="11" customWidth="1"/>
    <col min="12" max="13" width="6.7109375" style="11" customWidth="1"/>
    <col min="14" max="14" width="12.7109375" style="11" customWidth="1"/>
    <col min="15" max="15" width="10.8515625" style="11" customWidth="1"/>
    <col min="16" max="16" width="13.00390625" style="11" customWidth="1"/>
    <col min="17" max="17" width="18.140625" style="11" customWidth="1"/>
    <col min="18" max="18" width="18.00390625" style="11" customWidth="1"/>
    <col min="19" max="19" width="16.00390625" style="11" customWidth="1"/>
    <col min="20" max="34" width="9.140625" style="11" customWidth="1"/>
    <col min="35" max="36" width="17.421875" style="11" customWidth="1"/>
    <col min="37" max="37" width="15.8515625" style="11" customWidth="1"/>
    <col min="38" max="38" width="14.00390625" style="11" customWidth="1"/>
    <col min="39" max="16384" width="9.140625" style="11" customWidth="1"/>
  </cols>
  <sheetData>
    <row r="1" spans="2:16" ht="36.75" customHeight="1">
      <c r="B1" s="454" t="s">
        <v>477</v>
      </c>
      <c r="C1" s="455"/>
      <c r="D1" s="455"/>
      <c r="E1" s="451" t="s">
        <v>571</v>
      </c>
      <c r="F1" s="452"/>
      <c r="G1" s="452"/>
      <c r="H1" s="452"/>
      <c r="I1" s="452"/>
      <c r="J1" s="452"/>
      <c r="K1" s="452"/>
      <c r="L1" s="452"/>
      <c r="M1" s="452"/>
      <c r="N1" s="452"/>
      <c r="O1" s="452"/>
      <c r="P1" s="453"/>
    </row>
    <row r="2" spans="2:16" ht="25.5" customHeight="1">
      <c r="B2" s="477" t="s">
        <v>555</v>
      </c>
      <c r="C2" s="478"/>
      <c r="D2" s="478"/>
      <c r="E2" s="478"/>
      <c r="F2" s="478"/>
      <c r="G2" s="478"/>
      <c r="H2" s="478"/>
      <c r="I2" s="478"/>
      <c r="J2" s="478"/>
      <c r="K2" s="478"/>
      <c r="L2" s="478"/>
      <c r="M2" s="234"/>
      <c r="N2" s="234"/>
      <c r="O2" s="234"/>
      <c r="P2" s="238"/>
    </row>
    <row r="3" spans="2:16" ht="46.5" customHeight="1">
      <c r="B3" s="492">
        <f>IF(OR(TABING!C3="SI",TABING!C4="SI",TABING!C5="SI"),"STUDI DI FATTIBILITA'","")</f>
      </c>
      <c r="C3" s="493"/>
      <c r="D3" s="494"/>
      <c r="E3" s="236">
        <f>IF(OR(TABING!C6="SI",TABING!C7="SI",TABING!C8="SI"),"STIME E VALUTAZIONI","")</f>
      </c>
      <c r="F3" s="236">
        <f>IF(OR(TABING!C9="SI",TABING!C10="SI",TABING!C11="SI"),"RILIEVI STUDI E ANALISI","")</f>
      </c>
      <c r="G3" s="236">
        <f>IF(TABING!C12="SI","PIANI ECONO-MICI","")</f>
      </c>
      <c r="H3" s="210">
        <f>IF(OR(TABING!Z38&lt;&gt;0,TABING!C30="SI",TABING!C33="SI"),"PROGETTAZ. PRELIMINARE","")</f>
      </c>
      <c r="I3" s="479">
        <f>IF(OR(TABING!Z70&lt;&gt;0,TABING!C62="SI",TABING!C65="SI"),"PROGETTAZIONE DEFINITIVA","")</f>
      </c>
      <c r="J3" s="480"/>
      <c r="K3" s="481"/>
      <c r="L3" s="459">
        <f>IF(TABING!Z82&lt;&gt;0,"PROGET-
TAZIONE ESECUTIVA","")</f>
      </c>
      <c r="M3" s="460"/>
      <c r="N3" s="60" t="str">
        <f>IF(OR(TABING!Z97&lt;&gt;0,TABING!C92="SI",TABING!C93="SI"),"ESECUZIO
NE LAVORI","")</f>
        <v>ESECUZIO
NE LAVORI</v>
      </c>
      <c r="O3" s="211">
        <f>IF(TABING!Z103&lt;&gt;0,"VERIFICHE E COLLAUDI","")</f>
      </c>
      <c r="P3" s="217">
        <f>IF(TABING!Z106&lt;&gt;0,"MONITORAG
GI","")</f>
      </c>
    </row>
    <row r="4" spans="2:26" s="208" customFormat="1" ht="33.75">
      <c r="B4" s="438" t="str">
        <f>IF(TABING!AA5&lt;&gt;"",TABING!AA5,"")</f>
        <v>  </v>
      </c>
      <c r="C4" s="439"/>
      <c r="D4" s="439"/>
      <c r="E4" s="207" t="str">
        <f>IF(TABING!AA8&lt;&gt;"",TABING!AA8,"")</f>
        <v>  </v>
      </c>
      <c r="F4" s="207" t="str">
        <f>IF(TABING!AA11&lt;&gt;"",TABING!AA11,"")</f>
        <v>  </v>
      </c>
      <c r="G4" s="207">
        <f>IF(TABING!AA13&lt;&gt;"",TABING!AA13,"")</f>
      </c>
      <c r="H4" s="207" t="str">
        <f>IF(OR(TABING!AA37&lt;&gt;"",TABING!AA38&lt;&gt;""),CONCATENATE(TABING!AA37," ",TABING!AA38),"")</f>
        <v>                      </v>
      </c>
      <c r="I4" s="439" t="str">
        <f>IF(OR(TABING!AA69&lt;&gt;"",TABING!AA70&lt;&gt;""),CONCATENATE(TABING!AA69," ",TABING!AA70),"")</f>
        <v>                             </v>
      </c>
      <c r="J4" s="439"/>
      <c r="K4" s="439"/>
      <c r="L4" s="439" t="str">
        <f>IF(TABING!AA82&lt;&gt;"",TABING!AA82,"")</f>
        <v>          </v>
      </c>
      <c r="M4" s="439"/>
      <c r="N4" s="207" t="str">
        <f>IF(AND(L8="SI",M8="SI"),"Attenzione sono stati validati entrambi i criteri di contabilità",IF(TABING!AA97&lt;&gt;"",TABING!AA97,""))</f>
        <v>Qc.I.01 Qc.I.02 Qc.I.03      Qc.I.09   Qc.I.12 </v>
      </c>
      <c r="O4" s="207" t="str">
        <f>IF(TABING!AA103&lt;&gt;"",TABING!AA103,"")</f>
        <v>    </v>
      </c>
      <c r="P4" s="209" t="str">
        <f>IF(TABING!AA106&lt;&gt;"",TABING!AA106,"")</f>
        <v> </v>
      </c>
      <c r="Z4" s="28" t="s">
        <v>456</v>
      </c>
    </row>
    <row r="5" spans="2:37" ht="52.5" customHeight="1">
      <c r="B5" s="488" t="s">
        <v>406</v>
      </c>
      <c r="C5" s="458" t="s">
        <v>456</v>
      </c>
      <c r="D5" s="458" t="s">
        <v>467</v>
      </c>
      <c r="E5" s="449" t="s">
        <v>407</v>
      </c>
      <c r="F5" s="449" t="s">
        <v>408</v>
      </c>
      <c r="G5" s="449" t="s">
        <v>490</v>
      </c>
      <c r="H5" s="449" t="s">
        <v>454</v>
      </c>
      <c r="I5" s="432" t="s">
        <v>523</v>
      </c>
      <c r="J5" s="433"/>
      <c r="K5" s="434"/>
      <c r="L5" s="456" t="s">
        <v>451</v>
      </c>
      <c r="M5" s="456"/>
      <c r="N5" s="440" t="s">
        <v>409</v>
      </c>
      <c r="O5" s="489" t="s">
        <v>416</v>
      </c>
      <c r="P5" s="461" t="s">
        <v>410</v>
      </c>
      <c r="Z5" s="28" t="s">
        <v>66</v>
      </c>
      <c r="AI5" s="471" t="s">
        <v>522</v>
      </c>
      <c r="AJ5" s="471"/>
      <c r="AK5" s="471"/>
    </row>
    <row r="6" spans="2:38" ht="30" customHeight="1">
      <c r="B6" s="488"/>
      <c r="C6" s="458"/>
      <c r="D6" s="458"/>
      <c r="E6" s="449"/>
      <c r="F6" s="449"/>
      <c r="G6" s="449"/>
      <c r="H6" s="449"/>
      <c r="I6" s="435"/>
      <c r="J6" s="436"/>
      <c r="K6" s="437"/>
      <c r="L6" s="457" t="str">
        <f>IF(AND(L8="",M8=""),"Non prevista",IF(AND(L8="SI",M8="SI"),"Attenzione",IF(L8="SI","A misura","A corpo")))</f>
        <v>A misura</v>
      </c>
      <c r="M6" s="457"/>
      <c r="N6" s="441"/>
      <c r="O6" s="490"/>
      <c r="P6" s="462"/>
      <c r="Z6" s="28" t="s">
        <v>68</v>
      </c>
      <c r="AI6" s="467" t="s">
        <v>524</v>
      </c>
      <c r="AJ6" s="467" t="s">
        <v>525</v>
      </c>
      <c r="AK6" s="473" t="s">
        <v>521</v>
      </c>
      <c r="AL6" s="450" t="s">
        <v>527</v>
      </c>
    </row>
    <row r="7" spans="2:38" ht="21" customHeight="1">
      <c r="B7" s="488"/>
      <c r="C7" s="58" t="s">
        <v>457</v>
      </c>
      <c r="D7" s="58" t="s">
        <v>459</v>
      </c>
      <c r="E7" s="449"/>
      <c r="F7" s="57" t="s">
        <v>455</v>
      </c>
      <c r="G7" s="58" t="s">
        <v>500</v>
      </c>
      <c r="H7" s="58" t="s">
        <v>452</v>
      </c>
      <c r="I7" s="90">
        <f>IF(OR(TABING!$C30="SI",TABING!$C33="SI",TABING!$C62="SI",TABING!$C65="SI"),IF(MAX(E9:E14)&gt;0,5,""),"")</f>
      </c>
      <c r="J7" s="90">
        <f>IF(OR(TABING!$C30="SI",TABING!$C33="SI",TABING!$C62="SI",TABING!$C65="SI"),IF(MAX(E9:E14)&gt;5000000,20,""),"")</f>
      </c>
      <c r="K7" s="90">
        <f>IF(OR(TABING!$C30="SI",TABING!$C33="SI",TABING!$C62="SI",TABING!$C65="SI"),IF(MAX(E9:E14)&gt;20000000,"&gt;20",""),"")</f>
      </c>
      <c r="L7" s="5" t="str">
        <f>IF(TABING!C92="SI","Q.c.I.09","")</f>
        <v>Q.c.I.09</v>
      </c>
      <c r="M7" s="5">
        <f>IF(TABING!C93="SI","Q.c.I.10","")</f>
      </c>
      <c r="N7" s="442"/>
      <c r="O7" s="491"/>
      <c r="P7" s="463"/>
      <c r="Z7" s="28" t="s">
        <v>69</v>
      </c>
      <c r="AC7" s="472"/>
      <c r="AD7" s="472"/>
      <c r="AE7" s="472"/>
      <c r="AF7" s="472"/>
      <c r="AG7" s="472"/>
      <c r="AH7" s="472"/>
      <c r="AI7" s="467"/>
      <c r="AJ7" s="467"/>
      <c r="AK7" s="473"/>
      <c r="AL7" s="450"/>
    </row>
    <row r="8" spans="2:38" ht="26.25" customHeight="1">
      <c r="B8" s="488"/>
      <c r="C8" s="237" t="s">
        <v>528</v>
      </c>
      <c r="D8" s="57" t="s">
        <v>458</v>
      </c>
      <c r="E8" s="138" t="s">
        <v>0</v>
      </c>
      <c r="F8" s="138" t="s">
        <v>134</v>
      </c>
      <c r="G8" s="6" t="s">
        <v>135</v>
      </c>
      <c r="H8" s="6" t="s">
        <v>453</v>
      </c>
      <c r="I8" s="464" t="s">
        <v>485</v>
      </c>
      <c r="J8" s="465"/>
      <c r="K8" s="466"/>
      <c r="L8" s="59" t="str">
        <f>IF(TABING!C92="SI","SI","")</f>
        <v>SI</v>
      </c>
      <c r="M8" s="59">
        <f>IF(TABING!C93="SI","SI","")</f>
      </c>
      <c r="N8" s="59" t="s">
        <v>62</v>
      </c>
      <c r="O8" s="59" t="s">
        <v>62</v>
      </c>
      <c r="P8" s="82" t="s">
        <v>62</v>
      </c>
      <c r="R8" s="656" t="s">
        <v>572</v>
      </c>
      <c r="S8" s="656" t="s">
        <v>573</v>
      </c>
      <c r="Z8" s="28" t="s">
        <v>70</v>
      </c>
      <c r="AC8" s="3">
        <v>5</v>
      </c>
      <c r="AD8" s="3">
        <v>20</v>
      </c>
      <c r="AE8" s="3" t="s">
        <v>526</v>
      </c>
      <c r="AF8" s="3">
        <v>5</v>
      </c>
      <c r="AG8" s="3">
        <v>20</v>
      </c>
      <c r="AH8" s="3" t="s">
        <v>526</v>
      </c>
      <c r="AI8" s="467"/>
      <c r="AJ8" s="467"/>
      <c r="AK8" s="473"/>
      <c r="AL8" s="450"/>
    </row>
    <row r="9" spans="2:38" ht="21.75" customHeight="1">
      <c r="B9" s="81">
        <v>1</v>
      </c>
      <c r="C9" s="60" t="s">
        <v>85</v>
      </c>
      <c r="D9" s="61" t="str">
        <f>IF(C9&lt;&gt;"",VLOOKUP(C9,'Tab Z-1'!$C$3:$G$63,$C$1+2,FALSE),"")</f>
        <v>I/d</v>
      </c>
      <c r="E9" s="68">
        <v>347011.69238382194</v>
      </c>
      <c r="F9" s="62">
        <f aca="true" t="shared" si="0" ref="F9:F14">IF(C9&lt;&gt;"",_xlfn.IFERROR(0.03+10/E9^0.4,""),"")</f>
        <v>0.09079422922344471</v>
      </c>
      <c r="G9" s="61">
        <f>IF(C9&lt;&gt;"",VLOOKUP(C9,'Tab Z-1'!$C$3:$G$63,$C$1+5,FALSE),"")</f>
        <v>1.2</v>
      </c>
      <c r="H9" s="63">
        <f>IF($C9&lt;&gt;"",HLOOKUP(LEFT($C9,2),TABING!$Q$2:$Y$107,106,FALSE),"")</f>
        <v>0.62</v>
      </c>
      <c r="I9" s="63">
        <f>IF($C9&lt;&gt;"",_xlfn.IFERROR(IF($E9&gt;0,IF(TABING!$C$30="SI",HLOOKUP(LEFT($C9,2),TABING!$G$2:$O$106,29,FALSE),0)+IF(TABING!$C$33="SI",HLOOKUP(LEFT($C9,2),TABING!$G$2:$O$106,32,FALSE),0)+IF(TABING!$C$62="SI",HLOOKUP(LEFT($C9,2),TABING!$G$2:$O$106,61,FALSE),0)+IF(TABING!$C$65="SI",HLOOKUP(LEFT($C9,2),TABING!$G$2:$O$106,64,FALSE),0),""),""),"")</f>
        <v>0</v>
      </c>
      <c r="J9" s="63">
        <f>IF($C9&lt;&gt;"",_xlfn.IFERROR(IF($E9&gt;5000000,IF(TABING!$C$30="SI",HLOOKUP(LEFT($C9,2),TABING!$G$2:$O$106,30,FALSE),0)+IF(TABING!$C$33="SI",HLOOKUP(LEFT($C9,2),TABING!$G$2:$O$106,33,FALSE),0)+IF(TABING!$C$62="SI",HLOOKUP(LEFT($C9,2),TABING!$G$2:$O$106,62,FALSE),0)+IF(TABING!$C$65="SI",HLOOKUP(LEFT($C9,2),TABING!$G$2:$O$106,65,FALSE),0),""),""),"")</f>
      </c>
      <c r="K9" s="63">
        <f>IF($C9&lt;&gt;"",_xlfn.IFERROR(IF($E9&gt;20000000,IF(TABING!$C$30="SI",HLOOKUP(LEFT($C9,2),TABING!$G$2:$O$106,31,FALSE),0)+IF(TABING!$C$33="SI",HLOOKUP(LEFT($C9,2),TABING!$G$2:$O$106,34,FALSE),0)+IF(TABING!$C$62="SI",HLOOKUP(LEFT($C9,2),TABING!$G$2:$O$106,63,FALSE),0)+IF(TABING!$C$65="SI",HLOOKUP(LEFT($C9,2),TABING!$G$2:$O$106,66,FALSE),0),""),""),"")</f>
      </c>
      <c r="L9" s="430">
        <f>IF($C9&lt;&gt;"",IF(AND($L$8="",$M$8=""),0,IF(AND($L$8="SI",$M$8="SI"),"",IF($L$8="SI",HLOOKUP(LEFT($C9,2),TABING!$G$2:$O$106,91,FALSE),HLOOKUP(LEFT($C9,2),TABING!$G$2:$O$106,92,FALSE)))),"")</f>
        <v>0.06</v>
      </c>
      <c r="M9" s="431"/>
      <c r="N9" s="64">
        <f aca="true" t="shared" si="1" ref="N9:N14">IF(C9&lt;&gt;"",_xlfn.IFERROR(IF(E9&lt;=500000,E9*F9*G9*(H9+I9+L9),IF(AND(E9&gt;500000,E9&lt;=5000000),500000*F9*G9*(H9+I9+L9)+(E9-500000)*F9*G9*(H9+I9+2*L9),IF(AND(E9&gt;5000000,E9&lt;=20000000),500000*F9*G9*(H9+I9+L9)+4500000*F9*G9*(H9+I9+2*L9)+(E9-5000000)*F9*G9*(H9+J9+2*L9),IF(E9&gt;20000000,500000*F9*G9*(H9+I9+L9)+4500000*F9*G9*(H9+I9+2*L9)+15000000*F9*G9*(H9+J9+2*L9)+(E9-20000000)*F9*G9*(H9+K9+2*L9),0)))),""),"")</f>
        <v>25709.43385947396</v>
      </c>
      <c r="O9" s="64">
        <f aca="true" t="shared" si="2" ref="O9:O14">IF(C9&lt;&gt;"",_xlfn.IFERROR(N9*$G$15,""),"")</f>
        <v>6427.35846486849</v>
      </c>
      <c r="P9" s="83">
        <f aca="true" t="shared" si="3" ref="P9:P14">IF(C9&lt;&gt;"",_xlfn.IFERROR(N9+O9,""),"")</f>
        <v>32136.792324342452</v>
      </c>
      <c r="Q9" s="228"/>
      <c r="R9" s="655">
        <f>E9*2</f>
        <v>694023.3847676439</v>
      </c>
      <c r="S9" s="654">
        <f>E9*0.8</f>
        <v>277609.35390705755</v>
      </c>
      <c r="Z9" s="28" t="s">
        <v>71</v>
      </c>
      <c r="AC9" s="11">
        <f>IF($C9&lt;&gt;"",_xlfn.IFERROR(IF($E9&gt;0,IF(TABING!$C$30="SI",HLOOKUP(LEFT($C9,2),TABING!$G$2:$O$106,29,FALSE),0)+IF(TABING!$C$33="SI",HLOOKUP(LEFT($C9,2),TABING!$G$2:$O$106,32,FALSE),0),""),""),"")</f>
        <v>0</v>
      </c>
      <c r="AD9" s="11">
        <f>IF($C9&lt;&gt;"",_xlfn.IFERROR(IF($E9&gt;5000000,IF(TABING!$C$30="SI",HLOOKUP(LEFT($C9,2),TABING!$G$2:$O$106,30,FALSE),0)+IF(TABING!$C$33="SI",HLOOKUP(LEFT($C9,2),TABING!$G$2:$O$106,33,FALSE),0),""),""),"")</f>
      </c>
      <c r="AE9" s="11">
        <f>IF($C9&lt;&gt;"",_xlfn.IFERROR(IF($E9&gt;20000000,IF(TABING!$C$30="SI",HLOOKUP(LEFT($C9,2),TABING!$G$2:$O$106,31,FALSE),0)+IF(TABING!$C$33="SI",HLOOKUP(LEFT($C9,2),TABING!$G$2:$O$106,34,FALSE),0),""),""),"")</f>
      </c>
      <c r="AF9" s="11">
        <f>IF($C9&lt;&gt;"",_xlfn.IFERROR(IF($E9&gt;0,IF(TABING!$C$62="SI",HLOOKUP(LEFT($C9,2),TABING!$G$2:$O$106,61,FALSE),0)+IF(TABING!$C$65="SI",HLOOKUP(LEFT($C9,2),TABING!$G$2:$O$106,64,FALSE),0),""),""),"")</f>
        <v>0</v>
      </c>
      <c r="AG9" s="11">
        <f>IF($C9&lt;&gt;"",_xlfn.IFERROR(IF($E9&gt;5000000,IF(TABING!$C$62="SI",HLOOKUP(LEFT($C9,2),TABING!$G$2:$O$106,62,FALSE),0)+IF(TABING!$C$65="SI",HLOOKUP(LEFT($C9,2),TABING!$G$2:$O$106,65,FALSE),0),""),""),"")</f>
      </c>
      <c r="AH9" s="11">
        <f>IF($C9&lt;&gt;"",_xlfn.IFERROR(IF($E9&gt;5000000,IF(TABING!$C$62="SI",HLOOKUP(LEFT($C9,2),TABING!$G$2:$O$106,63,FALSE),0)+IF(TABING!$C$65="SI",HLOOKUP(LEFT($C9,2),TABING!$G$2:$O$106,66,FALSE),0),""),""),"")</f>
      </c>
      <c r="AI9" s="231">
        <f aca="true" t="shared" si="4" ref="AI9:AI14">IF(C9&lt;&gt;"",_xlfn.IFERROR(IF(E9&lt;=5000000,E9*F9*G9*AC9*(1+G$15),IF(AND(E9&gt;5000000,E9&lt;=20000000),(5000000*F9*G9*AC9+(E9-5000000)*F9*G9*AD9)*(1+G$15),IF(E9&gt;20000000,(5000000*F9*G9*AC9+15000000*F9*G9*AD9+(E9-20000000)*F9*G9*AE9)*(1+G$15)))),""),"")</f>
        <v>0</v>
      </c>
      <c r="AJ9" s="231">
        <f aca="true" t="shared" si="5" ref="AJ9:AJ14">IF(C9&lt;&gt;"",_xlfn.IFERROR(IF(E9&lt;=5000000,E9*F9*G9*AF9*(1+G$15),IF(AND(E9&gt;5000000,E9&lt;=20000000),(5000000*F9*G9*AF9+(E9-5000000)*F9*G9*AG9)*(1+G$15),IF(E9&gt;20000000,(5000000*F9*G9*AF9+15000000*F9*G9*AG9+(E9-20000000)*F9*G9*AH9)*(1+G$15)))),""),"")</f>
        <v>0</v>
      </c>
      <c r="AK9" s="231">
        <f aca="true" t="shared" si="6" ref="AK9:AK14">IF(C9&lt;&gt;"",_xlfn.IFERROR(IF(E9&lt;=500000,E9*F9*G9*L9*(1+G$15),(500000*F9*G9*L9+(E9-500000)*F9*G9*2*L9)*(1+G$15)),""),"")</f>
        <v>2835.5993227360987</v>
      </c>
      <c r="AL9" s="231">
        <f aca="true" t="shared" si="7" ref="AL9:AL14">IF(C9&lt;&gt;"",_xlfn.IFERROR(E9*F9*G9*(1+G$15),""),"")</f>
        <v>47259.988712268314</v>
      </c>
    </row>
    <row r="10" spans="2:38" ht="21.75" customHeight="1">
      <c r="B10" s="81">
        <f>IF(AND(C9&lt;&gt;"",C10&lt;&gt;""),B9+1,"")</f>
        <v>2</v>
      </c>
      <c r="C10" s="60" t="s">
        <v>88</v>
      </c>
      <c r="D10" s="61" t="str">
        <f>IF(C10&lt;&gt;"",VLOOKUP(C10,'Tab Z-1'!$C$3:$G$63,$C$1+2,FALSE),"")</f>
        <v>I/e</v>
      </c>
      <c r="E10" s="68">
        <v>51039.22991930499</v>
      </c>
      <c r="F10" s="62">
        <f t="shared" si="0"/>
        <v>0.16086947336212187</v>
      </c>
      <c r="G10" s="61">
        <f>IF(C10&lt;&gt;"",VLOOKUP(C10,'Tab Z-1'!$C$3:$G$63,$C$1+5,FALSE),"")</f>
        <v>1.55</v>
      </c>
      <c r="H10" s="63">
        <f>IF($C10&lt;&gt;"",HLOOKUP(LEFT($C10,2),TABING!$Q$2:$Y$107,106,FALSE),"")</f>
        <v>0.62</v>
      </c>
      <c r="I10" s="63">
        <f>IF($C10&lt;&gt;"",_xlfn.IFERROR(IF($E10&gt;0,IF(TABING!$C$30="SI",HLOOKUP(LEFT($C10,2),TABING!$G$2:$O$106,29,FALSE),0)+IF(TABING!$C$33="SI",HLOOKUP(LEFT($C10,2),TABING!$G$2:$O$106,32,FALSE),0)+IF(TABING!$C$62="SI",HLOOKUP(LEFT($C10,2),TABING!$G$2:$O$106,61,FALSE),0)+IF(TABING!$C$65="SI",HLOOKUP(LEFT($C10,2),TABING!$G$2:$O$106,64,FALSE),0),""),""),"")</f>
        <v>0</v>
      </c>
      <c r="J10" s="63">
        <f>IF($C10&lt;&gt;"",_xlfn.IFERROR(IF($E10&gt;5000000,IF(TABING!$C$30="SI",HLOOKUP(LEFT($C10,2),TABING!$G$2:$O$106,30,FALSE),0)+IF(TABING!$C$33="SI",HLOOKUP(LEFT($C10,2),TABING!$G$2:$O$106,33,FALSE),0)+IF(TABING!$C$62="SI",HLOOKUP(LEFT($C10,2),TABING!$G$2:$O$106,62,FALSE),0)+IF(TABING!$C$65="SI",HLOOKUP(LEFT($C10,2),TABING!$G$2:$O$106,65,FALSE),0),""),""),"")</f>
      </c>
      <c r="K10" s="63">
        <f>IF($C10&lt;&gt;"",_xlfn.IFERROR(IF($E10&gt;20000000,IF(TABING!$C$30="SI",HLOOKUP(LEFT($C10,2),TABING!$G$2:$O$106,31,FALSE),0)+IF(TABING!$C$33="SI",HLOOKUP(LEFT($C10,2),TABING!$G$2:$O$106,34,FALSE),0)+IF(TABING!$C$62="SI",HLOOKUP(LEFT($C10,2),TABING!$G$2:$O$106,63,FALSE),0)+IF(TABING!$C$65="SI",HLOOKUP(LEFT($C10,2),TABING!$G$2:$O$106,66,FALSE),0),""),""),"")</f>
      </c>
      <c r="L10" s="430">
        <f>IF($C10&lt;&gt;"",IF(AND($L$8="",$M$8=""),0,IF(AND($L$8="SI",$M$8="SI"),"",IF($L$8="SI",HLOOKUP(LEFT($C10,2),TABING!$G$2:$O$106,91,FALSE),HLOOKUP(LEFT($C10,2),TABING!$G$2:$O$106,92,FALSE)))),"")</f>
        <v>0.06</v>
      </c>
      <c r="M10" s="431"/>
      <c r="N10" s="64">
        <f t="shared" si="1"/>
        <v>8654.029355974897</v>
      </c>
      <c r="O10" s="64">
        <f t="shared" si="2"/>
        <v>2163.5073389937243</v>
      </c>
      <c r="P10" s="83">
        <f t="shared" si="3"/>
        <v>10817.536694968621</v>
      </c>
      <c r="R10" s="655">
        <f>E10*2</f>
        <v>102078.45983860998</v>
      </c>
      <c r="S10" s="654">
        <f>E10*0.8</f>
        <v>40831.383935444</v>
      </c>
      <c r="Z10" s="28" t="s">
        <v>72</v>
      </c>
      <c r="AC10" s="11">
        <f>IF($C10&lt;&gt;"",_xlfn.IFERROR(IF($E10&gt;0,IF(TABING!$C$30="SI",HLOOKUP(LEFT($C10,2),TABING!$G$2:$O$106,29,FALSE),0)+IF(TABING!$C$33="SI",HLOOKUP(LEFT($C10,2),TABING!$G$2:$O$106,32,FALSE),0),""),""),"")</f>
        <v>0</v>
      </c>
      <c r="AD10" s="11">
        <f>IF($C10&lt;&gt;"",_xlfn.IFERROR(IF($E10&gt;5000000,IF(TABING!$C$30="SI",HLOOKUP(LEFT($C10,2),TABING!$G$2:$O$106,30,FALSE),0)+IF(TABING!$C$33="SI",HLOOKUP(LEFT($C10,2),TABING!$G$2:$O$106,33,FALSE),0),""),""),"")</f>
      </c>
      <c r="AE10" s="11">
        <f>IF($C10&lt;&gt;"",_xlfn.IFERROR(IF($E10&gt;20000000,IF(TABING!$C$30="SI",HLOOKUP(LEFT($C10,2),TABING!$G$2:$O$106,31,FALSE),0)+IF(TABING!$C$33="SI",HLOOKUP(LEFT($C10,2),TABING!$G$2:$O$106,34,FALSE),0),""),""),"")</f>
      </c>
      <c r="AF10" s="11">
        <f>IF($C10&lt;&gt;"",_xlfn.IFERROR(IF($E10&gt;0,IF(TABING!$C$62="SI",HLOOKUP(LEFT($C10,2),TABING!$G$2:$O$106,61,FALSE),0)+IF(TABING!$C$65="SI",HLOOKUP(LEFT($C10,2),TABING!$G$2:$O$106,64,FALSE),0),""),""),"")</f>
        <v>0</v>
      </c>
      <c r="AG10" s="11">
        <f>IF($C10&lt;&gt;"",_xlfn.IFERROR(IF($E10&gt;5000000,IF(TABING!$C$62="SI",HLOOKUP(LEFT($C10,2),TABING!$G$2:$O$106,62,FALSE),0)+IF(TABING!$C$65="SI",HLOOKUP(LEFT($C10,2),TABING!$G$2:$O$106,65,FALSE),0),""),""),"")</f>
      </c>
      <c r="AH10" s="11">
        <f>IF($C10&lt;&gt;"",_xlfn.IFERROR(IF($E10&gt;5000000,IF(TABING!$C$62="SI",HLOOKUP(LEFT($C10,2),TABING!$G$2:$O$106,63,FALSE),0)+IF(TABING!$C$65="SI",HLOOKUP(LEFT($C10,2),TABING!$G$2:$O$106,66,FALSE),0),""),""),"")</f>
      </c>
      <c r="AI10" s="231">
        <f t="shared" si="4"/>
        <v>0</v>
      </c>
      <c r="AJ10" s="231">
        <f t="shared" si="5"/>
        <v>0</v>
      </c>
      <c r="AK10" s="231">
        <f t="shared" si="6"/>
        <v>954.4885319089962</v>
      </c>
      <c r="AL10" s="231">
        <f t="shared" si="7"/>
        <v>15908.14219848327</v>
      </c>
    </row>
    <row r="11" spans="2:38" ht="21.75" customHeight="1">
      <c r="B11" s="81">
        <f>IF(AND(C10&lt;&gt;"",C11&lt;&gt;""),B10+1,"")</f>
        <v>3</v>
      </c>
      <c r="C11" s="60" t="s">
        <v>91</v>
      </c>
      <c r="D11" s="61" t="str">
        <f>IF(C11&lt;&gt;"",VLOOKUP(C11,'Tab Z-1'!$C$3:$G$63,$C$1+2,FALSE),"")</f>
        <v>I/g</v>
      </c>
      <c r="E11" s="68">
        <v>12919.31381418353</v>
      </c>
      <c r="F11" s="62">
        <f t="shared" si="0"/>
        <v>0.2567275113140992</v>
      </c>
      <c r="G11" s="61">
        <f>IF(C11&lt;&gt;"",VLOOKUP(C11,'Tab Z-1'!$C$3:$G$63,$C$1+5,FALSE),"")</f>
        <v>0.95</v>
      </c>
      <c r="H11" s="63">
        <f>IF($C11&lt;&gt;"",HLOOKUP(LEFT($C11,2),TABING!$Q$2:$Y$107,106,FALSE),"")</f>
        <v>0.67</v>
      </c>
      <c r="I11" s="63">
        <f>IF($C11&lt;&gt;"",_xlfn.IFERROR(IF($E11&gt;0,IF(TABING!$C$30="SI",HLOOKUP(LEFT($C11,2),TABING!$G$2:$O$106,29,FALSE),0)+IF(TABING!$C$33="SI",HLOOKUP(LEFT($C11,2),TABING!$G$2:$O$106,32,FALSE),0)+IF(TABING!$C$62="SI",HLOOKUP(LEFT($C11,2),TABING!$G$2:$O$106,61,FALSE),0)+IF(TABING!$C$65="SI",HLOOKUP(LEFT($C11,2),TABING!$G$2:$O$106,64,FALSE),0),""),""),"")</f>
        <v>0</v>
      </c>
      <c r="J11" s="63">
        <f>IF($C11&lt;&gt;"",_xlfn.IFERROR(IF($E11&gt;5000000,IF(TABING!$C$30="SI",HLOOKUP(LEFT($C11,2),TABING!$G$2:$O$106,30,FALSE),0)+IF(TABING!$C$33="SI",HLOOKUP(LEFT($C11,2),TABING!$G$2:$O$106,33,FALSE),0)+IF(TABING!$C$62="SI",HLOOKUP(LEFT($C11,2),TABING!$G$2:$O$106,62,FALSE),0)+IF(TABING!$C$65="SI",HLOOKUP(LEFT($C11,2),TABING!$G$2:$O$106,65,FALSE),0),""),""),"")</f>
      </c>
      <c r="K11" s="63">
        <f>IF($C11&lt;&gt;"",_xlfn.IFERROR(IF($E11&gt;20000000,IF(TABING!$C$30="SI",HLOOKUP(LEFT($C11,2),TABING!$G$2:$O$106,31,FALSE),0)+IF(TABING!$C$33="SI",HLOOKUP(LEFT($C11,2),TABING!$G$2:$O$106,34,FALSE),0)+IF(TABING!$C$62="SI",HLOOKUP(LEFT($C11,2),TABING!$G$2:$O$106,63,FALSE),0)+IF(TABING!$C$65="SI",HLOOKUP(LEFT($C11,2),TABING!$G$2:$O$106,66,FALSE),0),""),""),"")</f>
      </c>
      <c r="L11" s="430">
        <f>IF($C11&lt;&gt;"",IF(AND($L$8="",$M$8=""),0,IF(AND($L$8="SI",$M$8="SI"),"",IF($L$8="SI",HLOOKUP(LEFT($C11,2),TABING!$G$2:$O$106,91,FALSE),HLOOKUP(LEFT($C11,2),TABING!$G$2:$O$106,92,FALSE)))),"")</f>
        <v>0.06</v>
      </c>
      <c r="M11" s="431"/>
      <c r="N11" s="64">
        <f t="shared" si="1"/>
        <v>2300.161467038732</v>
      </c>
      <c r="O11" s="64">
        <f t="shared" si="2"/>
        <v>575.040366759683</v>
      </c>
      <c r="P11" s="83">
        <f t="shared" si="3"/>
        <v>2875.201833798415</v>
      </c>
      <c r="R11" s="655">
        <f>E11*2</f>
        <v>25838.62762836706</v>
      </c>
      <c r="S11" s="654">
        <f>E11*0.8</f>
        <v>10335.451051346825</v>
      </c>
      <c r="Z11" s="28" t="s">
        <v>73</v>
      </c>
      <c r="AC11" s="11">
        <f>IF($C11&lt;&gt;"",_xlfn.IFERROR(IF($E11&gt;0,IF(TABING!$C$30="SI",HLOOKUP(LEFT($C11,2),TABING!$G$2:$O$106,29,FALSE),0)+IF(TABING!$C$33="SI",HLOOKUP(LEFT($C11,2),TABING!$G$2:$O$106,32,FALSE),0),""),""),"")</f>
        <v>0</v>
      </c>
      <c r="AD11" s="11">
        <f>IF($C11&lt;&gt;"",_xlfn.IFERROR(IF($E11&gt;5000000,IF(TABING!$C$30="SI",HLOOKUP(LEFT($C11,2),TABING!$G$2:$O$106,30,FALSE),0)+IF(TABING!$C$33="SI",HLOOKUP(LEFT($C11,2),TABING!$G$2:$O$106,33,FALSE),0),""),""),"")</f>
      </c>
      <c r="AE11" s="11">
        <f>IF($C11&lt;&gt;"",_xlfn.IFERROR(IF($E11&gt;20000000,IF(TABING!$C$30="SI",HLOOKUP(LEFT($C11,2),TABING!$G$2:$O$106,31,FALSE),0)+IF(TABING!$C$33="SI",HLOOKUP(LEFT($C11,2),TABING!$G$2:$O$106,34,FALSE),0),""),""),"")</f>
      </c>
      <c r="AF11" s="11">
        <f>IF($C11&lt;&gt;"",_xlfn.IFERROR(IF($E11&gt;0,IF(TABING!$C$62="SI",HLOOKUP(LEFT($C11,2),TABING!$G$2:$O$106,61,FALSE),0)+IF(TABING!$C$65="SI",HLOOKUP(LEFT($C11,2),TABING!$G$2:$O$106,64,FALSE),0),""),""),"")</f>
        <v>0</v>
      </c>
      <c r="AG11" s="11">
        <f>IF($C11&lt;&gt;"",_xlfn.IFERROR(IF($E11&gt;5000000,IF(TABING!$C$62="SI",HLOOKUP(LEFT($C11,2),TABING!$G$2:$O$106,62,FALSE),0)+IF(TABING!$C$65="SI",HLOOKUP(LEFT($C11,2),TABING!$G$2:$O$106,65,FALSE),0),""),""),"")</f>
      </c>
      <c r="AH11" s="11">
        <f>IF($C11&lt;&gt;"",_xlfn.IFERROR(IF($E11&gt;5000000,IF(TABING!$C$62="SI",HLOOKUP(LEFT($C11,2),TABING!$G$2:$O$106,63,FALSE),0)+IF(TABING!$C$65="SI",HLOOKUP(LEFT($C11,2),TABING!$G$2:$O$106,66,FALSE),0),""),""),"")</f>
      </c>
      <c r="AI11" s="231">
        <f t="shared" si="4"/>
        <v>0</v>
      </c>
      <c r="AJ11" s="231">
        <f t="shared" si="5"/>
        <v>0</v>
      </c>
      <c r="AK11" s="231">
        <f t="shared" si="6"/>
        <v>236.3179589423355</v>
      </c>
      <c r="AL11" s="231">
        <f t="shared" si="7"/>
        <v>3938.632649038925</v>
      </c>
    </row>
    <row r="12" spans="2:38" ht="21.75" customHeight="1">
      <c r="B12" s="81">
        <f>IF(AND(C11&lt;&gt;"",C12&lt;&gt;""),B11+1,"")</f>
        <v>4</v>
      </c>
      <c r="C12" s="60" t="s">
        <v>140</v>
      </c>
      <c r="D12" s="61" t="str">
        <f>IF(C12&lt;&gt;"",VLOOKUP(C12,'Tab Z-1'!$C$3:$G$63,$C$1+2,FALSE),"")</f>
        <v>III/c</v>
      </c>
      <c r="E12" s="68">
        <v>72497.81548485359</v>
      </c>
      <c r="F12" s="62">
        <f t="shared" si="0"/>
        <v>0.1437286887144964</v>
      </c>
      <c r="G12" s="61">
        <f>IF(C12&lt;&gt;"",VLOOKUP(C12,'Tab Z-1'!$C$3:$G$63,$C$1+5,FALSE),"")</f>
        <v>1.15</v>
      </c>
      <c r="H12" s="63">
        <f>IF($C12&lt;&gt;"",HLOOKUP(LEFT($C12,2),TABING!$Q$2:$Y$107,106,FALSE),"")</f>
        <v>0.62</v>
      </c>
      <c r="I12" s="63">
        <f>IF($C12&lt;&gt;"",_xlfn.IFERROR(IF($E12&gt;0,IF(TABING!$C$30="SI",HLOOKUP(LEFT($C12,2),TABING!$G$2:$O$106,29,FALSE),0)+IF(TABING!$C$33="SI",HLOOKUP(LEFT($C12,2),TABING!$G$2:$O$106,32,FALSE),0)+IF(TABING!$C$62="SI",HLOOKUP(LEFT($C12,2),TABING!$G$2:$O$106,61,FALSE),0)+IF(TABING!$C$65="SI",HLOOKUP(LEFT($C12,2),TABING!$G$2:$O$106,64,FALSE),0),""),""),"")</f>
        <v>0</v>
      </c>
      <c r="J12" s="63">
        <f>IF($C12&lt;&gt;"",_xlfn.IFERROR(IF($E12&gt;5000000,IF(TABING!$C$30="SI",HLOOKUP(LEFT($C12,2),TABING!$G$2:$O$106,30,FALSE),0)+IF(TABING!$C$33="SI",HLOOKUP(LEFT($C12,2),TABING!$G$2:$O$106,33,FALSE),0)+IF(TABING!$C$62="SI",HLOOKUP(LEFT($C12,2),TABING!$G$2:$O$106,62,FALSE),0)+IF(TABING!$C$65="SI",HLOOKUP(LEFT($C12,2),TABING!$G$2:$O$106,65,FALSE),0),""),""),"")</f>
      </c>
      <c r="K12" s="63">
        <f>IF($C12&lt;&gt;"",_xlfn.IFERROR(IF($E12&gt;20000000,IF(TABING!$C$30="SI",HLOOKUP(LEFT($C12,2),TABING!$G$2:$O$106,31,FALSE),0)+IF(TABING!$C$33="SI",HLOOKUP(LEFT($C12,2),TABING!$G$2:$O$106,34,FALSE),0)+IF(TABING!$C$62="SI",HLOOKUP(LEFT($C12,2),TABING!$G$2:$O$106,63,FALSE),0)+IF(TABING!$C$65="SI",HLOOKUP(LEFT($C12,2),TABING!$G$2:$O$106,66,FALSE),0),""),""),"")</f>
      </c>
      <c r="L12" s="430">
        <f>IF($C12&lt;&gt;"",IF(AND($L$8="",$M$8=""),0,IF(AND($L$8="SI",$M$8="SI"),"",IF($L$8="SI",HLOOKUP(LEFT($C12,2),TABING!$G$2:$O$106,91,FALSE),HLOOKUP(LEFT($C12,2),TABING!$G$2:$O$106,92,FALSE)))),"")</f>
        <v>0.045</v>
      </c>
      <c r="M12" s="431"/>
      <c r="N12" s="64">
        <f t="shared" si="1"/>
        <v>7968.707201053616</v>
      </c>
      <c r="O12" s="64">
        <f t="shared" si="2"/>
        <v>1992.176800263404</v>
      </c>
      <c r="P12" s="83">
        <f t="shared" si="3"/>
        <v>9960.88400131702</v>
      </c>
      <c r="R12" s="655">
        <f>E12*2</f>
        <v>144995.63096970718</v>
      </c>
      <c r="S12" s="654">
        <f>E12*0.8</f>
        <v>57998.25238788288</v>
      </c>
      <c r="Z12" s="28" t="s">
        <v>74</v>
      </c>
      <c r="AC12" s="11">
        <f>IF($C12&lt;&gt;"",_xlfn.IFERROR(IF($E12&gt;0,IF(TABING!$C$30="SI",HLOOKUP(LEFT($C12,2),TABING!$G$2:$O$106,29,FALSE),0)+IF(TABING!$C$33="SI",HLOOKUP(LEFT($C12,2),TABING!$G$2:$O$106,32,FALSE),0),""),""),"")</f>
        <v>0</v>
      </c>
      <c r="AD12" s="11">
        <f>IF($C12&lt;&gt;"",_xlfn.IFERROR(IF($E12&gt;5000000,IF(TABING!$C$30="SI",HLOOKUP(LEFT($C12,2),TABING!$G$2:$O$106,30,FALSE),0)+IF(TABING!$C$33="SI",HLOOKUP(LEFT($C12,2),TABING!$G$2:$O$106,33,FALSE),0),""),""),"")</f>
      </c>
      <c r="AE12" s="11">
        <f>IF($C12&lt;&gt;"",_xlfn.IFERROR(IF($E12&gt;20000000,IF(TABING!$C$30="SI",HLOOKUP(LEFT($C12,2),TABING!$G$2:$O$106,31,FALSE),0)+IF(TABING!$C$33="SI",HLOOKUP(LEFT($C12,2),TABING!$G$2:$O$106,34,FALSE),0),""),""),"")</f>
      </c>
      <c r="AF12" s="11">
        <f>IF($C12&lt;&gt;"",_xlfn.IFERROR(IF($E12&gt;0,IF(TABING!$C$62="SI",HLOOKUP(LEFT($C12,2),TABING!$G$2:$O$106,61,FALSE),0)+IF(TABING!$C$65="SI",HLOOKUP(LEFT($C12,2),TABING!$G$2:$O$106,64,FALSE),0),""),""),"")</f>
        <v>0</v>
      </c>
      <c r="AG12" s="11">
        <f>IF($C12&lt;&gt;"",_xlfn.IFERROR(IF($E12&gt;5000000,IF(TABING!$C$62="SI",HLOOKUP(LEFT($C12,2),TABING!$G$2:$O$106,62,FALSE),0)+IF(TABING!$C$65="SI",HLOOKUP(LEFT($C12,2),TABING!$G$2:$O$106,65,FALSE),0),""),""),"")</f>
      </c>
      <c r="AH12" s="11">
        <f>IF($C12&lt;&gt;"",_xlfn.IFERROR(IF($E12&gt;5000000,IF(TABING!$C$62="SI",HLOOKUP(LEFT($C12,2),TABING!$G$2:$O$106,63,FALSE),0)+IF(TABING!$C$65="SI",HLOOKUP(LEFT($C12,2),TABING!$G$2:$O$106,66,FALSE),0),""),""),"")</f>
      </c>
      <c r="AI12" s="231">
        <f t="shared" si="4"/>
        <v>0</v>
      </c>
      <c r="AJ12" s="231">
        <f t="shared" si="5"/>
        <v>0</v>
      </c>
      <c r="AK12" s="231">
        <f t="shared" si="6"/>
        <v>674.0447820440088</v>
      </c>
      <c r="AL12" s="231">
        <f t="shared" si="7"/>
        <v>14978.772934311308</v>
      </c>
    </row>
    <row r="13" spans="2:38" ht="21.75" customHeight="1">
      <c r="B13" s="81">
        <f>IF(AND(C12&lt;&gt;"",C13&lt;&gt;""),B12+1,"")</f>
        <v>5</v>
      </c>
      <c r="C13" s="60" t="s">
        <v>138</v>
      </c>
      <c r="D13" s="61" t="str">
        <f>IF(C13&lt;&gt;"",VLOOKUP(C13,'Tab Z-1'!$C$3:$G$63,$C$1+2,FALSE),"")</f>
        <v>III/a</v>
      </c>
      <c r="E13" s="68">
        <v>5957.258397835961</v>
      </c>
      <c r="F13" s="62">
        <f t="shared" si="0"/>
        <v>0.3390163259929626</v>
      </c>
      <c r="G13" s="61">
        <f>IF(C13&lt;&gt;"",VLOOKUP(C13,'Tab Z-1'!$C$3:$G$63,$C$1+5,FALSE),"")</f>
        <v>0.75</v>
      </c>
      <c r="H13" s="63">
        <f>IF($C13&lt;&gt;"",HLOOKUP(LEFT($C13,2),TABING!$Q$2:$Y$107,106,FALSE),"")</f>
        <v>0.62</v>
      </c>
      <c r="I13" s="63">
        <f>IF($C13&lt;&gt;"",_xlfn.IFERROR(IF($E13&gt;0,IF(TABING!$C$30="SI",HLOOKUP(LEFT($C13,2),TABING!$G$2:$O$106,29,FALSE),0)+IF(TABING!$C$33="SI",HLOOKUP(LEFT($C13,2),TABING!$G$2:$O$106,32,FALSE),0)+IF(TABING!$C$62="SI",HLOOKUP(LEFT($C13,2),TABING!$G$2:$O$106,61,FALSE),0)+IF(TABING!$C$65="SI",HLOOKUP(LEFT($C13,2),TABING!$G$2:$O$106,64,FALSE),0),""),""),"")</f>
        <v>0</v>
      </c>
      <c r="J13" s="63">
        <f>IF($C13&lt;&gt;"",_xlfn.IFERROR(IF($E13&gt;5000000,IF(TABING!$C$30="SI",HLOOKUP(LEFT($C13,2),TABING!$G$2:$O$106,30,FALSE),0)+IF(TABING!$C$33="SI",HLOOKUP(LEFT($C13,2),TABING!$G$2:$O$106,33,FALSE),0)+IF(TABING!$C$62="SI",HLOOKUP(LEFT($C13,2),TABING!$G$2:$O$106,62,FALSE),0)+IF(TABING!$C$65="SI",HLOOKUP(LEFT($C13,2),TABING!$G$2:$O$106,65,FALSE),0),""),""),"")</f>
      </c>
      <c r="K13" s="63">
        <f>IF($C13&lt;&gt;"",_xlfn.IFERROR(IF($E13&gt;20000000,IF(TABING!$C$30="SI",HLOOKUP(LEFT($C13,2),TABING!$G$2:$O$106,31,FALSE),0)+IF(TABING!$C$33="SI",HLOOKUP(LEFT($C13,2),TABING!$G$2:$O$106,34,FALSE),0)+IF(TABING!$C$62="SI",HLOOKUP(LEFT($C13,2),TABING!$G$2:$O$106,63,FALSE),0)+IF(TABING!$C$65="SI",HLOOKUP(LEFT($C13,2),TABING!$G$2:$O$106,66,FALSE),0),""),""),"")</f>
      </c>
      <c r="L13" s="430">
        <f>IF($C13&lt;&gt;"",IF(AND($L$8="",$M$8=""),0,IF(AND($L$8="SI",$M$8="SI"),"",IF($L$8="SI",HLOOKUP(LEFT($C13,2),TABING!$G$2:$O$106,91,FALSE),HLOOKUP(LEFT($C13,2),TABING!$G$2:$O$106,92,FALSE)))),"")</f>
        <v>0.045</v>
      </c>
      <c r="M13" s="431"/>
      <c r="N13" s="64">
        <f t="shared" si="1"/>
        <v>1007.2794176937538</v>
      </c>
      <c r="O13" s="64">
        <f t="shared" si="2"/>
        <v>251.81985442343844</v>
      </c>
      <c r="P13" s="83">
        <f t="shared" si="3"/>
        <v>1259.0992721171922</v>
      </c>
      <c r="R13" s="655">
        <f>E13*2</f>
        <v>11914.516795671921</v>
      </c>
      <c r="S13" s="654">
        <f>E13*0.8</f>
        <v>4765.806718268769</v>
      </c>
      <c r="Z13" s="28" t="s">
        <v>75</v>
      </c>
      <c r="AC13" s="11">
        <f>IF($C13&lt;&gt;"",_xlfn.IFERROR(IF($E13&gt;0,IF(TABING!$C$30="SI",HLOOKUP(LEFT($C13,2),TABING!$G$2:$O$106,29,FALSE),0)+IF(TABING!$C$33="SI",HLOOKUP(LEFT($C13,2),TABING!$G$2:$O$106,32,FALSE),0),""),""),"")</f>
        <v>0</v>
      </c>
      <c r="AD13" s="11">
        <f>IF($C13&lt;&gt;"",_xlfn.IFERROR(IF($E13&gt;5000000,IF(TABING!$C$30="SI",HLOOKUP(LEFT($C13,2),TABING!$G$2:$O$106,30,FALSE),0)+IF(TABING!$C$33="SI",HLOOKUP(LEFT($C13,2),TABING!$G$2:$O$106,33,FALSE),0),""),""),"")</f>
      </c>
      <c r="AE13" s="11">
        <f>IF($C13&lt;&gt;"",_xlfn.IFERROR(IF($E13&gt;20000000,IF(TABING!$C$30="SI",HLOOKUP(LEFT($C13,2),TABING!$G$2:$O$106,31,FALSE),0)+IF(TABING!$C$33="SI",HLOOKUP(LEFT($C13,2),TABING!$G$2:$O$106,34,FALSE),0),""),""),"")</f>
      </c>
      <c r="AF13" s="11">
        <f>IF($C13&lt;&gt;"",_xlfn.IFERROR(IF($E13&gt;0,IF(TABING!$C$62="SI",HLOOKUP(LEFT($C13,2),TABING!$G$2:$O$106,61,FALSE),0)+IF(TABING!$C$65="SI",HLOOKUP(LEFT($C13,2),TABING!$G$2:$O$106,64,FALSE),0),""),""),"")</f>
        <v>0</v>
      </c>
      <c r="AG13" s="11">
        <f>IF($C13&lt;&gt;"",_xlfn.IFERROR(IF($E13&gt;5000000,IF(TABING!$C$62="SI",HLOOKUP(LEFT($C13,2),TABING!$G$2:$O$106,62,FALSE),0)+IF(TABING!$C$65="SI",HLOOKUP(LEFT($C13,2),TABING!$G$2:$O$106,65,FALSE),0),""),""),"")</f>
      </c>
      <c r="AH13" s="11">
        <f>IF($C13&lt;&gt;"",_xlfn.IFERROR(IF($E13&gt;5000000,IF(TABING!$C$62="SI",HLOOKUP(LEFT($C13,2),TABING!$G$2:$O$106,63,FALSE),0)+IF(TABING!$C$65="SI",HLOOKUP(LEFT($C13,2),TABING!$G$2:$O$106,66,FALSE),0),""),""),"")</f>
      </c>
      <c r="AI13" s="231">
        <f t="shared" si="4"/>
        <v>0</v>
      </c>
      <c r="AJ13" s="231">
        <f t="shared" si="5"/>
        <v>0</v>
      </c>
      <c r="AK13" s="231">
        <f t="shared" si="6"/>
        <v>85.20220638387015</v>
      </c>
      <c r="AL13" s="231">
        <f t="shared" si="7"/>
        <v>1893.3823640860032</v>
      </c>
    </row>
    <row r="14" spans="2:38" ht="21.75" customHeight="1">
      <c r="B14" s="81">
        <f>IF(AND(C13&lt;&gt;"",C14&lt;&gt;""),B13+1,"")</f>
      </c>
      <c r="C14" s="60"/>
      <c r="D14" s="61">
        <f>IF(C14&lt;&gt;"",VLOOKUP(C14,'Tab Z-1'!$C$3:$G$63,$C$1+2,FALSE),"")</f>
      </c>
      <c r="E14" s="68"/>
      <c r="F14" s="62">
        <f t="shared" si="0"/>
      </c>
      <c r="G14" s="61">
        <f>IF(C14&lt;&gt;"",VLOOKUP(C14,'Tab Z-1'!$C$3:$G$63,$C$1+5,FALSE),"")</f>
      </c>
      <c r="H14" s="63">
        <f>IF($C14&lt;&gt;"",HLOOKUP(LEFT($C14,2),TABING!$Q$2:$Y$107,106,FALSE),"")</f>
      </c>
      <c r="I14" s="63">
        <f>IF($C14&lt;&gt;"",_xlfn.IFERROR(IF($E14&gt;0,IF(TABING!$C$30="SI",HLOOKUP(LEFT($C14,2),TABING!$G$2:$O$106,29,FALSE),0)+IF(TABING!$C$33="SI",HLOOKUP(LEFT($C14,2),TABING!$G$2:$O$106,32,FALSE),0)+IF(TABING!$C$62="SI",HLOOKUP(LEFT($C14,2),TABING!$G$2:$O$106,61,FALSE),0)+IF(TABING!$C$65="SI",HLOOKUP(LEFT($C14,2),TABING!$G$2:$O$106,64,FALSE),0),""),""),"")</f>
      </c>
      <c r="J14" s="63">
        <f>IF($C14&lt;&gt;"",_xlfn.IFERROR(IF($E14&gt;5000000,IF(TABING!$C$30="SI",HLOOKUP(LEFT($C14,2),TABING!$G$2:$O$106,30,FALSE),0)+IF(TABING!$C$33="SI",HLOOKUP(LEFT($C14,2),TABING!$G$2:$O$106,33,FALSE),0)+IF(TABING!$C$62="SI",HLOOKUP(LEFT($C14,2),TABING!$G$2:$O$106,62,FALSE),0)+IF(TABING!$C$65="SI",HLOOKUP(LEFT($C14,2),TABING!$G$2:$O$106,65,FALSE),0),""),""),"")</f>
      </c>
      <c r="K14" s="63">
        <f>IF($C14&lt;&gt;"",_xlfn.IFERROR(IF($E14&gt;20000000,IF(TABING!$C$30="SI",HLOOKUP(LEFT($C14,2),TABING!$G$2:$O$106,31,FALSE),0)+IF(TABING!$C$33="SI",HLOOKUP(LEFT($C14,2),TABING!$G$2:$O$106,34,FALSE),0)+IF(TABING!$C$62="SI",HLOOKUP(LEFT($C14,2),TABING!$G$2:$O$106,63,FALSE),0)+IF(TABING!$C$65="SI",HLOOKUP(LEFT($C14,2),TABING!$G$2:$O$106,66,FALSE),0),""),""),"")</f>
      </c>
      <c r="L14" s="430">
        <f>IF($C14&lt;&gt;"",IF(AND($L$8="",$M$8=""),0,IF(AND($L$8="SI",$M$8="SI"),"",IF($L$8="SI",HLOOKUP(LEFT($C14,2),TABING!$G$2:$O$106,91,FALSE),HLOOKUP(LEFT($C14,2),TABING!$G$2:$O$106,92,FALSE)))),"")</f>
      </c>
      <c r="M14" s="431"/>
      <c r="N14" s="64">
        <f t="shared" si="1"/>
      </c>
      <c r="O14" s="64">
        <f t="shared" si="2"/>
      </c>
      <c r="P14" s="83">
        <f t="shared" si="3"/>
      </c>
      <c r="R14" s="657">
        <f>SUM(R9:R13)</f>
        <v>978850.62</v>
      </c>
      <c r="S14" s="657">
        <f>SUM(S9:S13)</f>
        <v>391540.248</v>
      </c>
      <c r="Z14" s="28" t="s">
        <v>75</v>
      </c>
      <c r="AC14" s="11">
        <f>IF($C14&lt;&gt;"",_xlfn.IFERROR(IF($E14&gt;0,IF(TABING!$C$30="SI",HLOOKUP(LEFT($C14,2),TABING!$G$2:$O$106,29,FALSE),0)+IF(TABING!$C$33="SI",HLOOKUP(LEFT($C14,2),TABING!$G$2:$O$106,32,FALSE),0),""),""),"")</f>
      </c>
      <c r="AD14" s="11">
        <f>IF($C14&lt;&gt;"",_xlfn.IFERROR(IF($E14&gt;5000000,IF(TABING!$C$30="SI",HLOOKUP(LEFT($C14,2),TABING!$G$2:$O$106,30,FALSE),0)+IF(TABING!$C$33="SI",HLOOKUP(LEFT($C14,2),TABING!$G$2:$O$106,33,FALSE),0),""),""),"")</f>
      </c>
      <c r="AE14" s="11">
        <f>IF($C14&lt;&gt;"",_xlfn.IFERROR(IF($E14&gt;20000000,IF(TABING!$C$30="SI",HLOOKUP(LEFT($C14,2),TABING!$G$2:$O$106,31,FALSE),0)+IF(TABING!$C$33="SI",HLOOKUP(LEFT($C14,2),TABING!$G$2:$O$106,34,FALSE),0),""),""),"")</f>
      </c>
      <c r="AF14" s="11">
        <f>IF($C14&lt;&gt;"",_xlfn.IFERROR(IF($E14&gt;0,IF(TABING!$C$62="SI",HLOOKUP(LEFT($C14,2),TABING!$G$2:$O$106,61,FALSE),0)+IF(TABING!$C$65="SI",HLOOKUP(LEFT($C14,2),TABING!$G$2:$O$106,64,FALSE),0),""),""),"")</f>
      </c>
      <c r="AG14" s="11">
        <f>IF($C14&lt;&gt;"",_xlfn.IFERROR(IF($E14&gt;5000000,IF(TABING!$C$62="SI",HLOOKUP(LEFT($C14,2),TABING!$G$2:$O$106,62,FALSE),0)+IF(TABING!$C$65="SI",HLOOKUP(LEFT($C14,2),TABING!$G$2:$O$106,65,FALSE),0),""),""),"")</f>
      </c>
      <c r="AH14" s="11">
        <f>IF($C14&lt;&gt;"",_xlfn.IFERROR(IF($E14&gt;5000000,IF(TABING!$C$62="SI",HLOOKUP(LEFT($C14,2),TABING!$G$2:$O$106,63,FALSE),0)+IF(TABING!$C$65="SI",HLOOKUP(LEFT($C14,2),TABING!$G$2:$O$106,66,FALSE),0),""),""),"")</f>
      </c>
      <c r="AI14" s="231">
        <f t="shared" si="4"/>
      </c>
      <c r="AJ14" s="231">
        <f t="shared" si="5"/>
      </c>
      <c r="AK14" s="231">
        <f t="shared" si="6"/>
      </c>
      <c r="AL14" s="231">
        <f t="shared" si="7"/>
      </c>
    </row>
    <row r="15" spans="2:26" ht="35.25" customHeight="1" thickBot="1">
      <c r="B15" s="443" t="s">
        <v>556</v>
      </c>
      <c r="C15" s="444"/>
      <c r="D15" s="444"/>
      <c r="E15" s="84">
        <f>SUM(E9:E14)</f>
        <v>489425.31</v>
      </c>
      <c r="F15" s="85" t="s">
        <v>412</v>
      </c>
      <c r="G15" s="131">
        <f>IF(C9&lt;&gt;"",IF(E15&lt;=1000000,0.25,IF(E15&gt;=25000000,0.1,0.1+(25000000-E15)*0.15/24000000)),"")</f>
        <v>0.25</v>
      </c>
      <c r="H15" s="485" t="str">
        <f>IF(AND(G15&gt;0.1,G15&lt;0.25),"Per interpolazione lineare
 art.5  D.M. 17/06/2016","art.5  D.M. 17/06/2016")</f>
        <v>art.5  D.M. 17/06/2016</v>
      </c>
      <c r="I15" s="486"/>
      <c r="J15" s="486"/>
      <c r="K15" s="487"/>
      <c r="L15" s="482" t="s">
        <v>501</v>
      </c>
      <c r="M15" s="483"/>
      <c r="N15" s="483"/>
      <c r="O15" s="484"/>
      <c r="P15" s="86">
        <f>SUM(P9:P14)</f>
        <v>57049.5141265437</v>
      </c>
      <c r="R15" s="228"/>
      <c r="S15" s="228"/>
      <c r="Z15" s="28" t="s">
        <v>76</v>
      </c>
    </row>
    <row r="16" spans="2:26" s="65" customFormat="1" ht="24.75" customHeight="1">
      <c r="B16" s="468" t="s">
        <v>551</v>
      </c>
      <c r="C16" s="469"/>
      <c r="D16" s="469"/>
      <c r="E16" s="469"/>
      <c r="F16" s="469"/>
      <c r="G16" s="469"/>
      <c r="H16" s="469"/>
      <c r="I16" s="469"/>
      <c r="J16" s="469"/>
      <c r="K16" s="469"/>
      <c r="L16" s="469"/>
      <c r="M16" s="469"/>
      <c r="N16" s="469"/>
      <c r="O16" s="469"/>
      <c r="P16" s="470"/>
      <c r="R16" s="653"/>
      <c r="Z16" s="28" t="s">
        <v>77</v>
      </c>
    </row>
    <row r="17" spans="2:26" s="65" customFormat="1" ht="24.75" customHeight="1">
      <c r="B17" s="474" t="s">
        <v>553</v>
      </c>
      <c r="C17" s="475"/>
      <c r="D17" s="475"/>
      <c r="E17" s="475"/>
      <c r="F17" s="475"/>
      <c r="G17" s="476"/>
      <c r="H17" s="303">
        <v>0</v>
      </c>
      <c r="I17" s="446" t="str">
        <f>IF(H17=0,"CORRISPETTIVO","CORRISPETTIVO  RIBASSATO")</f>
        <v>CORRISPETTIVO</v>
      </c>
      <c r="J17" s="447"/>
      <c r="K17" s="447"/>
      <c r="L17" s="447"/>
      <c r="M17" s="447"/>
      <c r="N17" s="448"/>
      <c r="O17" s="66" t="s">
        <v>62</v>
      </c>
      <c r="P17" s="132">
        <f>P15*(1-H17/100)</f>
        <v>57049.5141265437</v>
      </c>
      <c r="Z17" s="28" t="s">
        <v>78</v>
      </c>
    </row>
    <row r="18" spans="2:26" s="65" customFormat="1" ht="24.75" customHeight="1">
      <c r="B18" s="295"/>
      <c r="C18" s="296"/>
      <c r="D18" s="296"/>
      <c r="E18" s="296"/>
      <c r="F18" s="296"/>
      <c r="G18" s="445" t="s">
        <v>561</v>
      </c>
      <c r="H18" s="445"/>
      <c r="I18" s="445"/>
      <c r="J18" s="445"/>
      <c r="K18" s="301">
        <v>4</v>
      </c>
      <c r="L18" s="294" t="s">
        <v>562</v>
      </c>
      <c r="M18" s="428">
        <f>P17</f>
        <v>57049.5141265437</v>
      </c>
      <c r="N18" s="429"/>
      <c r="O18" s="66" t="s">
        <v>62</v>
      </c>
      <c r="P18" s="133">
        <f>P17*K18/100</f>
        <v>2281.9805650617477</v>
      </c>
      <c r="Z18" s="28" t="s">
        <v>79</v>
      </c>
    </row>
    <row r="19" spans="2:26" s="65" customFormat="1" ht="24.75" customHeight="1">
      <c r="B19" s="297"/>
      <c r="C19" s="298"/>
      <c r="D19" s="298"/>
      <c r="E19" s="298"/>
      <c r="F19" s="298"/>
      <c r="G19" s="446" t="s">
        <v>414</v>
      </c>
      <c r="H19" s="447"/>
      <c r="I19" s="447"/>
      <c r="J19" s="447"/>
      <c r="K19" s="447"/>
      <c r="L19" s="447"/>
      <c r="M19" s="447"/>
      <c r="N19" s="448"/>
      <c r="O19" s="66" t="s">
        <v>62</v>
      </c>
      <c r="P19" s="132">
        <f>P17+P18</f>
        <v>59331.49469160545</v>
      </c>
      <c r="Z19" s="28" t="s">
        <v>80</v>
      </c>
    </row>
    <row r="20" spans="2:26" s="65" customFormat="1" ht="24.75" customHeight="1">
      <c r="B20" s="297"/>
      <c r="C20" s="298"/>
      <c r="D20" s="298"/>
      <c r="E20" s="298"/>
      <c r="F20" s="298"/>
      <c r="G20" s="445" t="s">
        <v>560</v>
      </c>
      <c r="H20" s="445"/>
      <c r="I20" s="445"/>
      <c r="J20" s="445"/>
      <c r="K20" s="301">
        <v>22</v>
      </c>
      <c r="L20" s="294" t="s">
        <v>562</v>
      </c>
      <c r="M20" s="428">
        <f>P19</f>
        <v>59331.49469160545</v>
      </c>
      <c r="N20" s="429"/>
      <c r="O20" s="66" t="s">
        <v>62</v>
      </c>
      <c r="P20" s="133">
        <f>P19*K20/100</f>
        <v>13052.928832153199</v>
      </c>
      <c r="Z20" s="28" t="s">
        <v>81</v>
      </c>
    </row>
    <row r="21" spans="2:26" s="65" customFormat="1" ht="24.75" customHeight="1" thickBot="1">
      <c r="B21" s="299"/>
      <c r="C21" s="300"/>
      <c r="D21" s="300"/>
      <c r="E21" s="300"/>
      <c r="F21" s="300"/>
      <c r="G21" s="425" t="s">
        <v>63</v>
      </c>
      <c r="H21" s="426"/>
      <c r="I21" s="426"/>
      <c r="J21" s="426"/>
      <c r="K21" s="426"/>
      <c r="L21" s="426"/>
      <c r="M21" s="426"/>
      <c r="N21" s="427"/>
      <c r="O21" s="134" t="s">
        <v>62</v>
      </c>
      <c r="P21" s="135">
        <f>P19+P20</f>
        <v>72384.42352375864</v>
      </c>
      <c r="Z21" s="28" t="s">
        <v>82</v>
      </c>
    </row>
    <row r="22" spans="9:26" s="65" customFormat="1" ht="15.75">
      <c r="I22" s="11"/>
      <c r="J22" s="11"/>
      <c r="K22" s="11"/>
      <c r="Z22" s="28" t="s">
        <v>83</v>
      </c>
    </row>
    <row r="23" ht="15.75">
      <c r="Z23" s="28" t="s">
        <v>84</v>
      </c>
    </row>
    <row r="24" ht="15.75">
      <c r="Z24" s="28" t="s">
        <v>85</v>
      </c>
    </row>
    <row r="25" ht="15.75">
      <c r="Z25" s="28" t="s">
        <v>86</v>
      </c>
    </row>
    <row r="26" ht="15.75">
      <c r="Z26" s="28" t="s">
        <v>87</v>
      </c>
    </row>
    <row r="27" ht="15.75">
      <c r="Z27" s="28" t="s">
        <v>88</v>
      </c>
    </row>
    <row r="28" ht="15.75">
      <c r="Z28" s="28" t="s">
        <v>89</v>
      </c>
    </row>
    <row r="29" ht="15.75">
      <c r="Z29" s="28" t="s">
        <v>90</v>
      </c>
    </row>
    <row r="30" ht="15.75">
      <c r="Z30" s="28" t="s">
        <v>91</v>
      </c>
    </row>
    <row r="31" ht="15.75">
      <c r="Z31" s="28" t="s">
        <v>92</v>
      </c>
    </row>
    <row r="32" ht="15.75">
      <c r="Z32" s="28" t="s">
        <v>93</v>
      </c>
    </row>
    <row r="33" ht="15.75">
      <c r="Z33" s="28" t="s">
        <v>94</v>
      </c>
    </row>
    <row r="34" ht="15.75">
      <c r="Z34" s="28" t="s">
        <v>138</v>
      </c>
    </row>
    <row r="35" ht="15.75">
      <c r="Z35" s="28" t="s">
        <v>139</v>
      </c>
    </row>
    <row r="36" ht="15.75">
      <c r="Z36" s="28" t="s">
        <v>140</v>
      </c>
    </row>
    <row r="37" ht="15.75">
      <c r="Z37" s="28" t="s">
        <v>141</v>
      </c>
    </row>
    <row r="38" ht="15.75">
      <c r="Z38" s="28" t="s">
        <v>142</v>
      </c>
    </row>
    <row r="39" ht="15.75">
      <c r="Z39" s="28" t="s">
        <v>426</v>
      </c>
    </row>
    <row r="40" ht="15.75">
      <c r="Z40" s="28" t="s">
        <v>145</v>
      </c>
    </row>
    <row r="41" ht="15.75">
      <c r="Z41" s="28" t="s">
        <v>146</v>
      </c>
    </row>
    <row r="42" ht="15.75">
      <c r="Z42" s="28" t="s">
        <v>147</v>
      </c>
    </row>
    <row r="43" ht="15.75">
      <c r="Z43" s="28" t="s">
        <v>149</v>
      </c>
    </row>
    <row r="44" ht="15.75">
      <c r="Z44" s="28" t="s">
        <v>150</v>
      </c>
    </row>
    <row r="45" ht="15.75">
      <c r="Z45" s="28" t="s">
        <v>152</v>
      </c>
    </row>
    <row r="46" ht="15.75">
      <c r="Z46" s="28" t="s">
        <v>154</v>
      </c>
    </row>
    <row r="47" ht="15.75">
      <c r="Z47" s="28" t="s">
        <v>157</v>
      </c>
    </row>
    <row r="48" ht="15.75">
      <c r="Z48" s="28" t="s">
        <v>160</v>
      </c>
    </row>
    <row r="49" ht="15.75">
      <c r="Z49" s="28" t="s">
        <v>163</v>
      </c>
    </row>
    <row r="50" ht="15.75">
      <c r="Z50" s="28" t="s">
        <v>165</v>
      </c>
    </row>
    <row r="51" ht="15.75">
      <c r="Z51" s="28" t="s">
        <v>168</v>
      </c>
    </row>
    <row r="52" ht="15.75">
      <c r="Z52" s="28" t="s">
        <v>170</v>
      </c>
    </row>
    <row r="53" ht="15.75">
      <c r="Z53" s="28" t="s">
        <v>172</v>
      </c>
    </row>
    <row r="54" ht="15.75">
      <c r="Z54" s="28" t="s">
        <v>173</v>
      </c>
    </row>
    <row r="55" ht="15.75">
      <c r="Z55" s="28" t="s">
        <v>175</v>
      </c>
    </row>
    <row r="56" ht="15.75">
      <c r="Z56" s="28" t="s">
        <v>177</v>
      </c>
    </row>
    <row r="57" ht="15.75">
      <c r="Z57" s="28" t="s">
        <v>179</v>
      </c>
    </row>
    <row r="58" ht="15.75">
      <c r="Z58" s="28" t="s">
        <v>182</v>
      </c>
    </row>
    <row r="59" ht="15.75">
      <c r="Z59" s="28" t="s">
        <v>184</v>
      </c>
    </row>
    <row r="60" ht="15.75">
      <c r="Z60" s="28" t="s">
        <v>186</v>
      </c>
    </row>
    <row r="61" ht="15.75">
      <c r="Z61" s="28" t="s">
        <v>188</v>
      </c>
    </row>
    <row r="62" ht="15.75">
      <c r="Z62" s="28" t="s">
        <v>191</v>
      </c>
    </row>
    <row r="63" ht="15.75">
      <c r="Z63" s="28" t="s">
        <v>194</v>
      </c>
    </row>
    <row r="64" ht="15.75">
      <c r="Z64" s="28" t="s">
        <v>198</v>
      </c>
    </row>
    <row r="65" ht="15.75">
      <c r="Z65" s="28" t="s">
        <v>200</v>
      </c>
    </row>
    <row r="66" ht="15.75">
      <c r="Z66" s="28" t="s">
        <v>203</v>
      </c>
    </row>
  </sheetData>
  <sheetProtection/>
  <mergeCells count="48">
    <mergeCell ref="B17:G17"/>
    <mergeCell ref="B2:L2"/>
    <mergeCell ref="I3:K3"/>
    <mergeCell ref="L15:O15"/>
    <mergeCell ref="H15:K15"/>
    <mergeCell ref="B5:B8"/>
    <mergeCell ref="O5:O7"/>
    <mergeCell ref="B3:D3"/>
    <mergeCell ref="AI6:AI8"/>
    <mergeCell ref="B16:P16"/>
    <mergeCell ref="AI5:AK5"/>
    <mergeCell ref="AC7:AE7"/>
    <mergeCell ref="AF7:AH7"/>
    <mergeCell ref="AJ6:AJ8"/>
    <mergeCell ref="AK6:AK8"/>
    <mergeCell ref="E5:E7"/>
    <mergeCell ref="D5:D6"/>
    <mergeCell ref="F5:F6"/>
    <mergeCell ref="AL6:AL8"/>
    <mergeCell ref="E1:P1"/>
    <mergeCell ref="B1:D1"/>
    <mergeCell ref="L5:M5"/>
    <mergeCell ref="L6:M6"/>
    <mergeCell ref="C5:C6"/>
    <mergeCell ref="L3:M3"/>
    <mergeCell ref="I4:K4"/>
    <mergeCell ref="P5:P7"/>
    <mergeCell ref="I8:K8"/>
    <mergeCell ref="G18:J18"/>
    <mergeCell ref="G20:J20"/>
    <mergeCell ref="G19:N19"/>
    <mergeCell ref="G5:G6"/>
    <mergeCell ref="H5:H6"/>
    <mergeCell ref="L9:M9"/>
    <mergeCell ref="L10:M10"/>
    <mergeCell ref="L11:M11"/>
    <mergeCell ref="L14:M14"/>
    <mergeCell ref="I17:N17"/>
    <mergeCell ref="G21:N21"/>
    <mergeCell ref="M20:N20"/>
    <mergeCell ref="L12:M12"/>
    <mergeCell ref="L13:M13"/>
    <mergeCell ref="I5:K6"/>
    <mergeCell ref="B4:D4"/>
    <mergeCell ref="L4:M4"/>
    <mergeCell ref="M18:N18"/>
    <mergeCell ref="N5:N7"/>
    <mergeCell ref="B15:D15"/>
  </mergeCells>
  <conditionalFormatting sqref="L6">
    <cfRule type="cellIs" priority="16" dxfId="8" operator="equal" stopIfTrue="1">
      <formula>"Attenzione"</formula>
    </cfRule>
  </conditionalFormatting>
  <conditionalFormatting sqref="L7:M8">
    <cfRule type="containsText" priority="9" dxfId="5" operator="containsText" stopIfTrue="1" text="SI">
      <formula>NOT(ISERROR(SEARCH("SI",L7)))</formula>
    </cfRule>
    <cfRule type="cellIs" priority="14" dxfId="0" operator="equal" stopIfTrue="1">
      <formula>"SI"</formula>
    </cfRule>
    <cfRule type="cellIs" priority="15" dxfId="5" operator="equal" stopIfTrue="1">
      <formula>"SI"</formula>
    </cfRule>
  </conditionalFormatting>
  <conditionalFormatting sqref="L6:M6">
    <cfRule type="cellIs" priority="11" dxfId="0" operator="equal">
      <formula>"Attenzione"</formula>
    </cfRule>
  </conditionalFormatting>
  <conditionalFormatting sqref="N4">
    <cfRule type="cellIs" priority="22" dxfId="0" operator="equal" stopIfTrue="1">
      <formula>"Attenzione sono stati validati entrambi i criteri di contabilità"</formula>
    </cfRule>
    <cfRule type="expression" priority="23" dxfId="2" stopIfTrue="1">
      <formula>"Attenzione sono stati validati entrambi i criteri di contabilità"</formula>
    </cfRule>
  </conditionalFormatting>
  <dataValidations count="1">
    <dataValidation type="list" allowBlank="1" showInputMessage="1" showErrorMessage="1" sqref="C9:C14">
      <formula1>$Z$4:$Z$65</formula1>
    </dataValidation>
  </dataValidation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Foglio14">
    <tabColor rgb="FF00B0F0"/>
  </sheetPr>
  <dimension ref="B1:H28"/>
  <sheetViews>
    <sheetView zoomScalePageLayoutView="0" workbookViewId="0" topLeftCell="A19">
      <selection activeCell="D20" sqref="D20"/>
    </sheetView>
  </sheetViews>
  <sheetFormatPr defaultColWidth="9.140625" defaultRowHeight="12.75"/>
  <cols>
    <col min="2" max="2" width="5.8515625" style="0" customWidth="1"/>
    <col min="3" max="3" width="22.00390625" style="0" customWidth="1"/>
    <col min="4" max="4" width="48.28125" style="0" customWidth="1"/>
    <col min="5" max="5" width="16.57421875" style="0" customWidth="1"/>
  </cols>
  <sheetData>
    <row r="1" spans="2:5" s="11" customFormat="1" ht="32.25" customHeight="1">
      <c r="B1" s="503" t="s">
        <v>477</v>
      </c>
      <c r="C1" s="504"/>
      <c r="D1" s="504"/>
      <c r="E1" s="505"/>
    </row>
    <row r="2" spans="2:5" ht="52.5" customHeight="1">
      <c r="B2" s="506" t="str">
        <f>'PARC INGG PARZ'!E1</f>
        <v>LAVORI DI RIQUALIFICAZIONE URBANA DEL CENTRO STORICO – 
RIQUALIFICAZIONE E VALORIZZAZIONE DELLA PIAZZA VITTORIO EMANUELE ORLANDO - CINISI (PA)</v>
      </c>
      <c r="C2" s="507"/>
      <c r="D2" s="507"/>
      <c r="E2" s="508"/>
    </row>
    <row r="3" spans="2:5" ht="27.75" customHeight="1">
      <c r="B3" s="509" t="s">
        <v>519</v>
      </c>
      <c r="C3" s="510"/>
      <c r="D3" s="510"/>
      <c r="E3" s="511"/>
    </row>
    <row r="4" spans="2:5" ht="36" customHeight="1">
      <c r="B4" s="250" t="s">
        <v>406</v>
      </c>
      <c r="C4" s="247" t="s">
        <v>545</v>
      </c>
      <c r="D4" s="247" t="s">
        <v>546</v>
      </c>
      <c r="E4" s="251" t="s">
        <v>520</v>
      </c>
    </row>
    <row r="5" spans="2:5" ht="34.5" customHeight="1">
      <c r="B5" s="259">
        <v>1</v>
      </c>
      <c r="C5" s="266">
        <f>'PARC INGG PARZ SCORP SIC'!$D$4</f>
      </c>
      <c r="D5" s="263">
        <f>'PARC INGG PARZ SCORP SIC'!$D$5</f>
      </c>
      <c r="E5" s="252">
        <f>'PARC INGG PARZ SCORP SIC'!$D$12</f>
        <v>0</v>
      </c>
    </row>
    <row r="6" spans="2:5" ht="49.5" customHeight="1">
      <c r="B6" s="259">
        <v>2</v>
      </c>
      <c r="C6" s="266">
        <f>'PARC INGG PARZ SCORP SIC'!$E$4</f>
      </c>
      <c r="D6" s="263">
        <f>'PARC INGG PARZ SCORP SIC'!$E$5</f>
      </c>
      <c r="E6" s="252">
        <f>'PARC INGG PARZ SCORP SIC'!$E$12</f>
        <v>0</v>
      </c>
    </row>
    <row r="7" spans="2:5" ht="69.75" customHeight="1">
      <c r="B7" s="259">
        <v>3</v>
      </c>
      <c r="C7" s="266">
        <f>'PARC INGG PARZ SCORP SIC'!$F$4</f>
      </c>
      <c r="D7" s="263">
        <f>'PARC INGG PARZ SCORP SIC'!$F$5</f>
      </c>
      <c r="E7" s="252">
        <f>'PARC INGG PARZ SCORP SIC'!$F$12</f>
        <v>0</v>
      </c>
    </row>
    <row r="8" spans="2:5" ht="34.5" customHeight="1">
      <c r="B8" s="259">
        <v>4</v>
      </c>
      <c r="C8" s="266">
        <f>'PARC INGG PARZ SCORP SIC'!$G$4</f>
      </c>
      <c r="D8" s="263" t="str">
        <f>'PARC INGG PARZ SCORP SIC'!$G$5</f>
        <v>         </v>
      </c>
      <c r="E8" s="252">
        <f>'PARC INGG PARZ SCORP SIC'!$G$12</f>
        <v>0</v>
      </c>
    </row>
    <row r="9" spans="2:5" ht="34.5" customHeight="1">
      <c r="B9" s="259">
        <v>5</v>
      </c>
      <c r="C9" s="266">
        <f>'PARC INGG PARZ SCORP SIC'!$H$4</f>
      </c>
      <c r="D9" s="263">
        <f>'PARC INGG PARZ SCORP SIC'!$H$5</f>
      </c>
      <c r="E9" s="252">
        <f>'PARC INGG PARZ SCORP SIC'!$H$12</f>
        <v>0</v>
      </c>
    </row>
    <row r="10" spans="2:5" ht="34.5" customHeight="1">
      <c r="B10" s="259">
        <v>6</v>
      </c>
      <c r="C10" s="266" t="str">
        <f>'PARC INGG PARZ SCORP SIC'!$I$4</f>
        <v>ESECUZIONE DEI LAVORI (D.L.)</v>
      </c>
      <c r="D10" s="263" t="str">
        <f>'PARC INGG PARZ SCORP SIC'!$I$5</f>
        <v>Qc.I.01 Qc.I.02 Qc.I.03      Qc.I.09   </v>
      </c>
      <c r="E10" s="252">
        <f>'PARC INGG PARZ SCORP SIC'!$I$12</f>
        <v>36054.78441199675</v>
      </c>
    </row>
    <row r="11" spans="2:5" ht="34.5" customHeight="1">
      <c r="B11" s="259">
        <v>7</v>
      </c>
      <c r="C11" s="266" t="str">
        <f>'PARC INGG PARZ SCORP SIC'!$J$4</f>
        <v>COORD SICUREZ IN FASE DI ESECUZIONE</v>
      </c>
      <c r="D11" s="263" t="str">
        <f>'PARC INGG PARZ SCORP SIC'!$J$5</f>
        <v>Qc.I.12</v>
      </c>
      <c r="E11" s="252">
        <f>'PARC INGG PARZ SCORP SIC'!$J$12</f>
        <v>20994.729714546953</v>
      </c>
    </row>
    <row r="12" spans="2:5" ht="34.5" customHeight="1">
      <c r="B12" s="259">
        <v>8</v>
      </c>
      <c r="C12" s="266">
        <f>'PARC INGG PARZ SCORP SIC'!$K$4</f>
      </c>
      <c r="D12" s="263">
        <f>'PARC INGG PARZ SCORP SIC'!$K$5</f>
      </c>
      <c r="E12" s="252">
        <f>'PARC INGG PARZ SCORP SIC'!$K$12</f>
        <v>0</v>
      </c>
    </row>
    <row r="13" spans="2:5" ht="34.5" customHeight="1">
      <c r="B13" s="259">
        <v>9</v>
      </c>
      <c r="C13" s="266">
        <f>'PARC INGG PARZ SCORP SIC'!$L$4</f>
      </c>
      <c r="D13" s="263">
        <f>'PARC INGG PARZ SCORP SIC'!$L$5</f>
      </c>
      <c r="E13" s="252">
        <f>'PARC INGG PARZ SCORP SIC'!$L$12</f>
        <v>0</v>
      </c>
    </row>
    <row r="14" spans="2:5" ht="34.5" customHeight="1">
      <c r="B14" s="259">
        <v>10</v>
      </c>
      <c r="C14" s="266">
        <f>'PARC INGG PARZ SCORP SIC'!$M$4</f>
      </c>
      <c r="D14" s="263">
        <f>'PARC INGG PARZ SCORP SIC'!$M$5</f>
      </c>
      <c r="E14" s="252">
        <f>'PARC INGG PARZ SCORP SIC'!$M$12</f>
        <v>0</v>
      </c>
    </row>
    <row r="15" spans="2:5" ht="34.5" customHeight="1">
      <c r="B15" s="259">
        <v>11</v>
      </c>
      <c r="C15" s="266">
        <f>'PARC INGG PARZ SCORP SIC'!$N$4</f>
      </c>
      <c r="D15" s="263">
        <f>'PARC INGG PARZ SCORP SIC'!$N$5</f>
      </c>
      <c r="E15" s="252">
        <f>'PARC INGG PARZ SCORP SIC'!$N$12</f>
        <v>0</v>
      </c>
    </row>
    <row r="16" spans="2:5" ht="34.5" customHeight="1">
      <c r="B16" s="259">
        <v>12</v>
      </c>
      <c r="C16" s="266">
        <f>'PARC INGG PARZ SCORP SIC'!$O$4</f>
      </c>
      <c r="D16" s="263">
        <f>'PARC INGG PARZ SCORP SIC'!$O$5</f>
      </c>
      <c r="E16" s="252">
        <f>'PARC INGG PARZ SCORP SIC'!$O$12</f>
        <v>0</v>
      </c>
    </row>
    <row r="17" spans="2:5" ht="34.5" customHeight="1">
      <c r="B17" s="259">
        <v>13</v>
      </c>
      <c r="C17" s="266">
        <f>'PARC INGG PARZ SCORP SIC'!$P$4</f>
      </c>
      <c r="D17" s="263">
        <f>'PARC INGG PARZ SCORP SIC'!$P$5</f>
      </c>
      <c r="E17" s="252">
        <f>'PARC INGG PARZ SCORP SIC'!$P$12</f>
        <v>0</v>
      </c>
    </row>
    <row r="18" spans="2:5" ht="24.75" customHeight="1">
      <c r="B18" s="250"/>
      <c r="C18" s="501" t="s">
        <v>540</v>
      </c>
      <c r="D18" s="502"/>
      <c r="E18" s="262">
        <f>SUM(E5:E17)</f>
        <v>57049.5141265437</v>
      </c>
    </row>
    <row r="19" spans="2:5" ht="51.75" customHeight="1">
      <c r="B19" s="259">
        <v>14</v>
      </c>
      <c r="C19" s="264" t="s">
        <v>570</v>
      </c>
      <c r="D19" s="249">
        <f>IF('PARC GEOLOGO'!Q8&lt;&gt;0,CONCATENATE(TABGEOL!U3," ",TABGEOL!U4," ",TABGEOL!U10),"")</f>
      </c>
      <c r="E19" s="252">
        <f>'PARC GEOLOGO'!Q14-'PARC GEOLOGO'!AQ14</f>
        <v>0</v>
      </c>
    </row>
    <row r="20" spans="2:8" ht="51.75" customHeight="1">
      <c r="B20" s="259">
        <v>15</v>
      </c>
      <c r="C20" s="264" t="s">
        <v>569</v>
      </c>
      <c r="D20" s="249">
        <f>IF('PARC GEOLOGO'!AQ8&lt;&gt;0,TABGEOL!U16,"")</f>
      </c>
      <c r="E20" s="252">
        <f>'PARC GEOLOGO'!AQ14</f>
        <v>0</v>
      </c>
      <c r="H20" s="312"/>
    </row>
    <row r="21" spans="2:5" ht="30" customHeight="1">
      <c r="B21" s="259">
        <v>16</v>
      </c>
      <c r="C21" s="499" t="s">
        <v>543</v>
      </c>
      <c r="D21" s="500"/>
      <c r="E21" s="252"/>
    </row>
    <row r="22" spans="2:5" ht="24.75" customHeight="1" thickBot="1">
      <c r="B22" s="512" t="s">
        <v>541</v>
      </c>
      <c r="C22" s="513"/>
      <c r="D22" s="514"/>
      <c r="E22" s="253">
        <f>E18+SUM(E19:E21)</f>
        <v>57049.5141265437</v>
      </c>
    </row>
    <row r="23" spans="2:5" ht="30" customHeight="1">
      <c r="B23" s="515" t="s">
        <v>554</v>
      </c>
      <c r="C23" s="516"/>
      <c r="D23" s="516"/>
      <c r="E23" s="517"/>
    </row>
    <row r="24" spans="2:5" ht="30" customHeight="1">
      <c r="B24" s="495" t="s">
        <v>553</v>
      </c>
      <c r="C24" s="496"/>
      <c r="D24" s="307">
        <v>0</v>
      </c>
      <c r="E24" s="314">
        <f>E22*(1-D24/100)</f>
        <v>57049.5141265437</v>
      </c>
    </row>
    <row r="25" spans="2:5" ht="22.5" customHeight="1" thickBot="1">
      <c r="B25" s="497" t="s">
        <v>544</v>
      </c>
      <c r="C25" s="498"/>
      <c r="D25" s="267">
        <f>E24</f>
        <v>57049.5141265437</v>
      </c>
      <c r="E25" s="313">
        <f>E22*0.04</f>
        <v>2281.980565061748</v>
      </c>
    </row>
    <row r="26" spans="2:5" ht="22.5" customHeight="1" thickTop="1">
      <c r="B26" s="270"/>
      <c r="C26" s="268"/>
      <c r="D26" s="269" t="s">
        <v>414</v>
      </c>
      <c r="E26" s="274">
        <f>E22+E25</f>
        <v>59331.49469160545</v>
      </c>
    </row>
    <row r="27" spans="2:5" ht="24.75" customHeight="1" thickBot="1">
      <c r="B27" s="497" t="s">
        <v>415</v>
      </c>
      <c r="C27" s="498"/>
      <c r="D27" s="267">
        <f>E26</f>
        <v>59331.49469160545</v>
      </c>
      <c r="E27" s="273">
        <f>0.22*E26</f>
        <v>13052.928832153199</v>
      </c>
    </row>
    <row r="28" spans="2:5" ht="16.5" thickBot="1" thickTop="1">
      <c r="B28" s="271"/>
      <c r="C28" s="272"/>
      <c r="D28" s="272" t="s">
        <v>535</v>
      </c>
      <c r="E28" s="275">
        <f>E26+E27</f>
        <v>72384.42352375864</v>
      </c>
    </row>
  </sheetData>
  <sheetProtection/>
  <mergeCells count="10">
    <mergeCell ref="B24:C24"/>
    <mergeCell ref="B25:C25"/>
    <mergeCell ref="B27:C27"/>
    <mergeCell ref="C21:D21"/>
    <mergeCell ref="C18:D18"/>
    <mergeCell ref="B1:E1"/>
    <mergeCell ref="B2:E2"/>
    <mergeCell ref="B3:E3"/>
    <mergeCell ref="B22:D22"/>
    <mergeCell ref="B23:E23"/>
  </mergeCell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Foglio2">
    <tabColor rgb="FFFFC000"/>
  </sheetPr>
  <dimension ref="A1:U36"/>
  <sheetViews>
    <sheetView zoomScalePageLayoutView="0" workbookViewId="0" topLeftCell="A10">
      <selection activeCell="U16" sqref="U16:U21"/>
    </sheetView>
  </sheetViews>
  <sheetFormatPr defaultColWidth="9.140625" defaultRowHeight="12.75"/>
  <cols>
    <col min="1" max="1" width="22.57421875" style="0" customWidth="1"/>
    <col min="2" max="2" width="11.7109375" style="0" customWidth="1"/>
    <col min="3" max="3" width="8.28125" style="0" customWidth="1"/>
    <col min="4" max="4" width="47.28125" style="0" customWidth="1"/>
    <col min="5" max="5" width="14.28125" style="0" customWidth="1"/>
    <col min="6" max="6" width="13.57421875" style="0" customWidth="1"/>
    <col min="7" max="13" width="6.7109375" style="0" customWidth="1"/>
    <col min="14" max="18" width="6.7109375" style="16" customWidth="1"/>
    <col min="19" max="20" width="8.7109375" style="16" customWidth="1"/>
    <col min="21" max="21" width="10.57421875" style="241" customWidth="1"/>
  </cols>
  <sheetData>
    <row r="1" spans="1:21" s="11" customFormat="1" ht="69" customHeight="1">
      <c r="A1" s="557" t="s">
        <v>206</v>
      </c>
      <c r="B1" s="98" t="s">
        <v>475</v>
      </c>
      <c r="C1" s="98" t="s">
        <v>404</v>
      </c>
      <c r="D1" s="397" t="s">
        <v>207</v>
      </c>
      <c r="E1" s="398"/>
      <c r="F1" s="399"/>
      <c r="G1" s="94" t="s">
        <v>208</v>
      </c>
      <c r="H1" s="535" t="s">
        <v>209</v>
      </c>
      <c r="I1" s="535"/>
      <c r="J1" s="535"/>
      <c r="K1" s="535"/>
      <c r="L1" s="535"/>
      <c r="M1" s="535"/>
      <c r="N1" s="375" t="s">
        <v>210</v>
      </c>
      <c r="O1" s="376"/>
      <c r="P1" s="94" t="s">
        <v>211</v>
      </c>
      <c r="Q1" s="94" t="s">
        <v>212</v>
      </c>
      <c r="R1" s="94" t="s">
        <v>213</v>
      </c>
      <c r="S1" s="94" t="s">
        <v>498</v>
      </c>
      <c r="T1" s="95" t="s">
        <v>214</v>
      </c>
      <c r="U1" s="519" t="s">
        <v>531</v>
      </c>
    </row>
    <row r="2" spans="1:21" ht="21" customHeight="1" thickBot="1">
      <c r="A2" s="558"/>
      <c r="B2" s="96"/>
      <c r="C2" s="137" t="s">
        <v>405</v>
      </c>
      <c r="D2" s="96"/>
      <c r="E2" s="533" t="s">
        <v>205</v>
      </c>
      <c r="F2" s="534"/>
      <c r="G2" s="99" t="s">
        <v>419</v>
      </c>
      <c r="H2" s="99" t="s">
        <v>89</v>
      </c>
      <c r="I2" s="99" t="s">
        <v>91</v>
      </c>
      <c r="J2" s="100" t="s">
        <v>90</v>
      </c>
      <c r="K2" s="100" t="s">
        <v>92</v>
      </c>
      <c r="L2" s="100" t="s">
        <v>93</v>
      </c>
      <c r="M2" s="100" t="s">
        <v>94</v>
      </c>
      <c r="N2" s="99" t="s">
        <v>417</v>
      </c>
      <c r="O2" s="99" t="s">
        <v>418</v>
      </c>
      <c r="P2" s="99" t="s">
        <v>421</v>
      </c>
      <c r="Q2" s="99" t="s">
        <v>422</v>
      </c>
      <c r="R2" s="99" t="s">
        <v>423</v>
      </c>
      <c r="S2" s="99" t="s">
        <v>424</v>
      </c>
      <c r="T2" s="101" t="s">
        <v>425</v>
      </c>
      <c r="U2" s="520"/>
    </row>
    <row r="3" spans="1:21" ht="58.5" customHeight="1" thickBot="1">
      <c r="A3" s="93" t="s">
        <v>480</v>
      </c>
      <c r="B3" s="97" t="s">
        <v>226</v>
      </c>
      <c r="C3" s="92"/>
      <c r="D3" s="559" t="s">
        <v>472</v>
      </c>
      <c r="E3" s="559"/>
      <c r="F3" s="559"/>
      <c r="G3" s="139"/>
      <c r="H3" s="139"/>
      <c r="I3" s="139"/>
      <c r="J3" s="139"/>
      <c r="K3" s="139"/>
      <c r="L3" s="139"/>
      <c r="M3" s="139"/>
      <c r="N3" s="139"/>
      <c r="O3" s="139"/>
      <c r="P3" s="139"/>
      <c r="Q3" s="139"/>
      <c r="R3" s="139"/>
      <c r="S3" s="89">
        <v>0.025</v>
      </c>
      <c r="T3" s="242">
        <v>0.03</v>
      </c>
      <c r="U3" s="246">
        <f>IF(C3="SI",B3,"")</f>
      </c>
    </row>
    <row r="4" spans="1:21" ht="18.75" customHeight="1">
      <c r="A4" s="554" t="s">
        <v>466</v>
      </c>
      <c r="B4" s="560" t="s">
        <v>245</v>
      </c>
      <c r="C4" s="530"/>
      <c r="D4" s="563" t="s">
        <v>469</v>
      </c>
      <c r="E4" s="156" t="s">
        <v>246</v>
      </c>
      <c r="F4" s="157">
        <v>250000</v>
      </c>
      <c r="G4" s="87">
        <v>0.039</v>
      </c>
      <c r="H4" s="87">
        <v>0.039</v>
      </c>
      <c r="I4" s="87">
        <v>0.039</v>
      </c>
      <c r="J4" s="87">
        <v>0.053</v>
      </c>
      <c r="K4" s="87">
        <v>0.053</v>
      </c>
      <c r="L4" s="87">
        <v>0.053</v>
      </c>
      <c r="M4" s="87">
        <v>0.053</v>
      </c>
      <c r="N4" s="87">
        <v>0.039</v>
      </c>
      <c r="O4" s="87">
        <v>0.039</v>
      </c>
      <c r="P4" s="87">
        <v>0.068</v>
      </c>
      <c r="Q4" s="87">
        <v>0.053</v>
      </c>
      <c r="R4" s="142"/>
      <c r="S4" s="87">
        <v>0.053</v>
      </c>
      <c r="T4" s="243"/>
      <c r="U4" s="518">
        <f>IF(C4="SI",B4,"")</f>
      </c>
    </row>
    <row r="5" spans="1:21" ht="18.75" customHeight="1">
      <c r="A5" s="555"/>
      <c r="B5" s="561"/>
      <c r="C5" s="531"/>
      <c r="D5" s="564"/>
      <c r="E5" s="144" t="s">
        <v>247</v>
      </c>
      <c r="F5" s="155">
        <v>500000</v>
      </c>
      <c r="G5" s="7">
        <v>0.01</v>
      </c>
      <c r="H5" s="7">
        <v>0.01</v>
      </c>
      <c r="I5" s="7">
        <v>0.01</v>
      </c>
      <c r="J5" s="7">
        <v>0.048</v>
      </c>
      <c r="K5" s="7">
        <v>0.048</v>
      </c>
      <c r="L5" s="7">
        <v>0.048</v>
      </c>
      <c r="M5" s="7">
        <v>0.048</v>
      </c>
      <c r="N5" s="7">
        <v>0.01</v>
      </c>
      <c r="O5" s="7">
        <v>0.01</v>
      </c>
      <c r="P5" s="7">
        <v>0.058</v>
      </c>
      <c r="Q5" s="7">
        <v>0.048</v>
      </c>
      <c r="R5" s="140"/>
      <c r="S5" s="23">
        <v>0.048</v>
      </c>
      <c r="T5" s="244"/>
      <c r="U5" s="518"/>
    </row>
    <row r="6" spans="1:21" ht="18.75" customHeight="1">
      <c r="A6" s="555"/>
      <c r="B6" s="561"/>
      <c r="C6" s="531"/>
      <c r="D6" s="564"/>
      <c r="E6" s="144" t="s">
        <v>247</v>
      </c>
      <c r="F6" s="155">
        <v>1000000</v>
      </c>
      <c r="G6" s="7">
        <v>0.013</v>
      </c>
      <c r="H6" s="7">
        <v>0.013</v>
      </c>
      <c r="I6" s="7">
        <v>0.013</v>
      </c>
      <c r="J6" s="7">
        <v>0.044</v>
      </c>
      <c r="K6" s="7">
        <v>0.044</v>
      </c>
      <c r="L6" s="7">
        <v>0.044</v>
      </c>
      <c r="M6" s="7">
        <v>0.044</v>
      </c>
      <c r="N6" s="7">
        <v>0.013</v>
      </c>
      <c r="O6" s="7">
        <v>0.013</v>
      </c>
      <c r="P6" s="7">
        <v>0.047</v>
      </c>
      <c r="Q6" s="7">
        <v>0.044</v>
      </c>
      <c r="R6" s="140"/>
      <c r="S6" s="7">
        <v>0.044</v>
      </c>
      <c r="T6" s="244"/>
      <c r="U6" s="518"/>
    </row>
    <row r="7" spans="1:21" ht="18.75" customHeight="1">
      <c r="A7" s="555"/>
      <c r="B7" s="561"/>
      <c r="C7" s="531"/>
      <c r="D7" s="564"/>
      <c r="E7" s="144" t="s">
        <v>247</v>
      </c>
      <c r="F7" s="155">
        <v>2500000</v>
      </c>
      <c r="G7" s="7">
        <v>0.018</v>
      </c>
      <c r="H7" s="7">
        <v>0.018</v>
      </c>
      <c r="I7" s="7">
        <v>0.018</v>
      </c>
      <c r="J7" s="7">
        <v>0.042</v>
      </c>
      <c r="K7" s="7">
        <v>0.042</v>
      </c>
      <c r="L7" s="7">
        <v>0.042</v>
      </c>
      <c r="M7" s="7">
        <v>0.042</v>
      </c>
      <c r="N7" s="7">
        <v>0.018</v>
      </c>
      <c r="O7" s="7">
        <v>0.018</v>
      </c>
      <c r="P7" s="7">
        <v>0.034</v>
      </c>
      <c r="Q7" s="7">
        <v>0.042</v>
      </c>
      <c r="R7" s="140"/>
      <c r="S7" s="7">
        <v>0.042</v>
      </c>
      <c r="T7" s="244"/>
      <c r="U7" s="518"/>
    </row>
    <row r="8" spans="1:21" ht="18.75" customHeight="1">
      <c r="A8" s="555"/>
      <c r="B8" s="561"/>
      <c r="C8" s="531"/>
      <c r="D8" s="564"/>
      <c r="E8" s="144" t="s">
        <v>247</v>
      </c>
      <c r="F8" s="155">
        <v>10000000</v>
      </c>
      <c r="G8" s="7">
        <v>0.022</v>
      </c>
      <c r="H8" s="7">
        <v>0.022</v>
      </c>
      <c r="I8" s="7">
        <v>0.022</v>
      </c>
      <c r="J8" s="7">
        <v>0.027</v>
      </c>
      <c r="K8" s="7">
        <v>0.027</v>
      </c>
      <c r="L8" s="7">
        <v>0.027</v>
      </c>
      <c r="M8" s="7">
        <v>0.027</v>
      </c>
      <c r="N8" s="7">
        <v>0.022</v>
      </c>
      <c r="O8" s="7">
        <v>0.022</v>
      </c>
      <c r="P8" s="7">
        <v>0.019</v>
      </c>
      <c r="Q8" s="308">
        <v>0.027</v>
      </c>
      <c r="R8" s="140"/>
      <c r="S8" s="7">
        <v>0.027</v>
      </c>
      <c r="T8" s="244"/>
      <c r="U8" s="518"/>
    </row>
    <row r="9" spans="1:21" ht="18.75" customHeight="1" thickBot="1">
      <c r="A9" s="556"/>
      <c r="B9" s="562"/>
      <c r="C9" s="532"/>
      <c r="D9" s="565"/>
      <c r="E9" s="145" t="s">
        <v>248</v>
      </c>
      <c r="F9" s="158"/>
      <c r="G9" s="88">
        <v>0.021</v>
      </c>
      <c r="H9" s="88">
        <v>0.021</v>
      </c>
      <c r="I9" s="88">
        <v>0.021</v>
      </c>
      <c r="J9" s="88">
        <v>0.025</v>
      </c>
      <c r="K9" s="88">
        <v>0.025</v>
      </c>
      <c r="L9" s="88">
        <v>0.025</v>
      </c>
      <c r="M9" s="88">
        <v>0.025</v>
      </c>
      <c r="N9" s="88">
        <v>0.021</v>
      </c>
      <c r="O9" s="88">
        <v>0.021</v>
      </c>
      <c r="P9" s="88">
        <v>0.018</v>
      </c>
      <c r="Q9" s="89">
        <v>0.025</v>
      </c>
      <c r="R9" s="141"/>
      <c r="S9" s="88">
        <v>0.025</v>
      </c>
      <c r="T9" s="245"/>
      <c r="U9" s="518"/>
    </row>
    <row r="10" spans="1:21" ht="18.75" customHeight="1">
      <c r="A10" s="548" t="s">
        <v>479</v>
      </c>
      <c r="B10" s="551" t="s">
        <v>270</v>
      </c>
      <c r="C10" s="527"/>
      <c r="D10" s="536" t="s">
        <v>469</v>
      </c>
      <c r="E10" s="147" t="s">
        <v>246</v>
      </c>
      <c r="F10" s="159">
        <v>250000</v>
      </c>
      <c r="G10" s="87">
        <v>0.064</v>
      </c>
      <c r="H10" s="87">
        <v>0.064</v>
      </c>
      <c r="I10" s="87">
        <v>0.064</v>
      </c>
      <c r="J10" s="87">
        <v>0.133</v>
      </c>
      <c r="K10" s="87">
        <v>0.133</v>
      </c>
      <c r="L10" s="87">
        <v>0.133</v>
      </c>
      <c r="M10" s="87">
        <v>0.133</v>
      </c>
      <c r="N10" s="87">
        <v>0.064</v>
      </c>
      <c r="O10" s="87">
        <v>0.064</v>
      </c>
      <c r="P10" s="87">
        <v>0.145</v>
      </c>
      <c r="Q10" s="87">
        <v>0.133</v>
      </c>
      <c r="R10" s="142"/>
      <c r="S10" s="87">
        <v>0.133</v>
      </c>
      <c r="T10" s="243"/>
      <c r="U10" s="518">
        <f>IF(C10="SI",B10,"")</f>
      </c>
    </row>
    <row r="11" spans="1:21" ht="18.75" customHeight="1">
      <c r="A11" s="549"/>
      <c r="B11" s="552"/>
      <c r="C11" s="528"/>
      <c r="D11" s="537"/>
      <c r="E11" s="146" t="s">
        <v>247</v>
      </c>
      <c r="F11" s="154">
        <v>500000</v>
      </c>
      <c r="G11" s="7">
        <v>0.019</v>
      </c>
      <c r="H11" s="7">
        <v>0.019</v>
      </c>
      <c r="I11" s="7">
        <v>0.019</v>
      </c>
      <c r="J11" s="7">
        <v>0.107</v>
      </c>
      <c r="K11" s="7">
        <v>0.107</v>
      </c>
      <c r="L11" s="7">
        <v>0.107</v>
      </c>
      <c r="M11" s="7">
        <v>0.107</v>
      </c>
      <c r="N11" s="7">
        <v>0.019</v>
      </c>
      <c r="O11" s="7">
        <v>0.019</v>
      </c>
      <c r="P11" s="7">
        <v>0.114</v>
      </c>
      <c r="Q11" s="7">
        <v>0.107</v>
      </c>
      <c r="R11" s="140"/>
      <c r="S11" s="7">
        <v>0.107</v>
      </c>
      <c r="T11" s="244"/>
      <c r="U11" s="518"/>
    </row>
    <row r="12" spans="1:21" ht="18.75" customHeight="1">
      <c r="A12" s="549"/>
      <c r="B12" s="552"/>
      <c r="C12" s="528"/>
      <c r="D12" s="537"/>
      <c r="E12" s="146" t="s">
        <v>247</v>
      </c>
      <c r="F12" s="154">
        <v>1000000</v>
      </c>
      <c r="G12" s="7">
        <v>0.021</v>
      </c>
      <c r="H12" s="7">
        <v>0.021</v>
      </c>
      <c r="I12" s="7">
        <v>0.021</v>
      </c>
      <c r="J12" s="7">
        <v>0.096</v>
      </c>
      <c r="K12" s="7">
        <v>0.096</v>
      </c>
      <c r="L12" s="7">
        <v>0.096</v>
      </c>
      <c r="M12" s="7">
        <v>0.096</v>
      </c>
      <c r="N12" s="7">
        <v>0.021</v>
      </c>
      <c r="O12" s="7">
        <v>0.021</v>
      </c>
      <c r="P12" s="7">
        <v>0.07</v>
      </c>
      <c r="Q12" s="7">
        <v>0.096</v>
      </c>
      <c r="R12" s="140"/>
      <c r="S12" s="7">
        <v>0.096</v>
      </c>
      <c r="T12" s="244"/>
      <c r="U12" s="518"/>
    </row>
    <row r="13" spans="1:21" ht="18.75" customHeight="1">
      <c r="A13" s="549"/>
      <c r="B13" s="552"/>
      <c r="C13" s="528"/>
      <c r="D13" s="537"/>
      <c r="E13" s="146" t="s">
        <v>247</v>
      </c>
      <c r="F13" s="154">
        <v>2500000</v>
      </c>
      <c r="G13" s="7">
        <v>0.029</v>
      </c>
      <c r="H13" s="7">
        <v>0.029</v>
      </c>
      <c r="I13" s="7">
        <v>0.029</v>
      </c>
      <c r="J13" s="7">
        <v>0.079</v>
      </c>
      <c r="K13" s="7">
        <v>0.079</v>
      </c>
      <c r="L13" s="7">
        <v>0.079</v>
      </c>
      <c r="M13" s="7">
        <v>0.079</v>
      </c>
      <c r="N13" s="7">
        <v>0.029</v>
      </c>
      <c r="O13" s="7">
        <v>0.029</v>
      </c>
      <c r="P13" s="7">
        <v>0.035</v>
      </c>
      <c r="Q13" s="7">
        <v>0.079</v>
      </c>
      <c r="R13" s="140"/>
      <c r="S13" s="7">
        <v>0.079</v>
      </c>
      <c r="T13" s="244"/>
      <c r="U13" s="518"/>
    </row>
    <row r="14" spans="1:21" ht="18.75" customHeight="1">
      <c r="A14" s="549"/>
      <c r="B14" s="552"/>
      <c r="C14" s="528"/>
      <c r="D14" s="537"/>
      <c r="E14" s="146" t="s">
        <v>247</v>
      </c>
      <c r="F14" s="154">
        <v>10000000</v>
      </c>
      <c r="G14" s="7">
        <v>0.038</v>
      </c>
      <c r="H14" s="7">
        <v>0.038</v>
      </c>
      <c r="I14" s="7">
        <v>0.038</v>
      </c>
      <c r="J14" s="7">
        <v>0.054</v>
      </c>
      <c r="K14" s="7">
        <v>0.054</v>
      </c>
      <c r="L14" s="7">
        <v>0.054</v>
      </c>
      <c r="M14" s="7">
        <v>0.054</v>
      </c>
      <c r="N14" s="7">
        <v>0.038</v>
      </c>
      <c r="O14" s="7">
        <v>0.038</v>
      </c>
      <c r="P14" s="7">
        <v>0.02</v>
      </c>
      <c r="Q14" s="7">
        <v>0.054</v>
      </c>
      <c r="R14" s="140"/>
      <c r="S14" s="7">
        <v>0.054</v>
      </c>
      <c r="T14" s="244"/>
      <c r="U14" s="518"/>
    </row>
    <row r="15" spans="1:21" ht="18.75" customHeight="1" thickBot="1">
      <c r="A15" s="550"/>
      <c r="B15" s="553"/>
      <c r="C15" s="529"/>
      <c r="D15" s="538"/>
      <c r="E15" s="148" t="s">
        <v>248</v>
      </c>
      <c r="F15" s="160"/>
      <c r="G15" s="88">
        <v>0.028</v>
      </c>
      <c r="H15" s="88">
        <v>0.028</v>
      </c>
      <c r="I15" s="88">
        <v>0.028</v>
      </c>
      <c r="J15" s="88">
        <v>0.035</v>
      </c>
      <c r="K15" s="88">
        <v>0.035</v>
      </c>
      <c r="L15" s="88">
        <v>0.035</v>
      </c>
      <c r="M15" s="88">
        <v>0.035</v>
      </c>
      <c r="N15" s="88">
        <v>0.028</v>
      </c>
      <c r="O15" s="88">
        <v>0.028</v>
      </c>
      <c r="P15" s="88">
        <v>0.018</v>
      </c>
      <c r="Q15" s="88">
        <v>0.035</v>
      </c>
      <c r="R15" s="141"/>
      <c r="S15" s="88">
        <v>0.035</v>
      </c>
      <c r="T15" s="245"/>
      <c r="U15" s="518"/>
    </row>
    <row r="16" spans="1:21" ht="18.75" customHeight="1">
      <c r="A16" s="539" t="s">
        <v>481</v>
      </c>
      <c r="B16" s="542" t="s">
        <v>302</v>
      </c>
      <c r="C16" s="530"/>
      <c r="D16" s="545" t="s">
        <v>370</v>
      </c>
      <c r="E16" s="149" t="s">
        <v>246</v>
      </c>
      <c r="F16" s="150">
        <v>250000</v>
      </c>
      <c r="G16" s="87">
        <v>0.039</v>
      </c>
      <c r="H16" s="87">
        <v>0.039</v>
      </c>
      <c r="I16" s="87">
        <v>0.039</v>
      </c>
      <c r="J16" s="87">
        <v>0.095</v>
      </c>
      <c r="K16" s="87">
        <v>0.095</v>
      </c>
      <c r="L16" s="87">
        <v>0.095</v>
      </c>
      <c r="M16" s="87">
        <v>0.095</v>
      </c>
      <c r="N16" s="87">
        <v>0.039</v>
      </c>
      <c r="O16" s="87">
        <v>0.039</v>
      </c>
      <c r="P16" s="87">
        <v>0.127</v>
      </c>
      <c r="Q16" s="87">
        <v>0.095</v>
      </c>
      <c r="R16" s="142"/>
      <c r="S16" s="87">
        <v>0.095</v>
      </c>
      <c r="T16" s="243"/>
      <c r="U16" s="518">
        <f>IF(C16="SI",B16,"")</f>
      </c>
    </row>
    <row r="17" spans="1:21" ht="18.75" customHeight="1">
      <c r="A17" s="540"/>
      <c r="B17" s="543"/>
      <c r="C17" s="531"/>
      <c r="D17" s="546"/>
      <c r="E17" s="151" t="s">
        <v>247</v>
      </c>
      <c r="F17" s="152">
        <v>500000</v>
      </c>
      <c r="G17" s="7">
        <v>0.01</v>
      </c>
      <c r="H17" s="7">
        <v>0.01</v>
      </c>
      <c r="I17" s="7">
        <v>0.01</v>
      </c>
      <c r="J17" s="7">
        <v>0.081</v>
      </c>
      <c r="K17" s="7">
        <v>0.081</v>
      </c>
      <c r="L17" s="7">
        <v>0.081</v>
      </c>
      <c r="M17" s="7">
        <v>0.081</v>
      </c>
      <c r="N17" s="7">
        <v>0.01</v>
      </c>
      <c r="O17" s="7">
        <v>0.01</v>
      </c>
      <c r="P17" s="7">
        <v>0.11</v>
      </c>
      <c r="Q17" s="7">
        <v>0.081</v>
      </c>
      <c r="R17" s="140"/>
      <c r="S17" s="7">
        <v>0.081</v>
      </c>
      <c r="T17" s="244"/>
      <c r="U17" s="518"/>
    </row>
    <row r="18" spans="1:21" ht="18.75" customHeight="1">
      <c r="A18" s="540"/>
      <c r="B18" s="543"/>
      <c r="C18" s="531"/>
      <c r="D18" s="546"/>
      <c r="E18" s="151" t="s">
        <v>247</v>
      </c>
      <c r="F18" s="152">
        <v>1000000</v>
      </c>
      <c r="G18" s="7">
        <v>0.013</v>
      </c>
      <c r="H18" s="7">
        <v>0.013</v>
      </c>
      <c r="I18" s="7">
        <v>0.013</v>
      </c>
      <c r="J18" s="7">
        <v>0.071</v>
      </c>
      <c r="K18" s="7">
        <v>0.071</v>
      </c>
      <c r="L18" s="7">
        <v>0.071</v>
      </c>
      <c r="M18" s="7">
        <v>0.071</v>
      </c>
      <c r="N18" s="7">
        <v>0.013</v>
      </c>
      <c r="O18" s="7">
        <v>0.013</v>
      </c>
      <c r="P18" s="7">
        <v>0.077</v>
      </c>
      <c r="Q18" s="7">
        <v>0.071</v>
      </c>
      <c r="R18" s="140"/>
      <c r="S18" s="7">
        <v>0.071</v>
      </c>
      <c r="T18" s="244"/>
      <c r="U18" s="518"/>
    </row>
    <row r="19" spans="1:21" ht="18.75" customHeight="1">
      <c r="A19" s="540"/>
      <c r="B19" s="543"/>
      <c r="C19" s="531"/>
      <c r="D19" s="546"/>
      <c r="E19" s="151" t="s">
        <v>247</v>
      </c>
      <c r="F19" s="152">
        <v>2500000</v>
      </c>
      <c r="G19" s="7">
        <v>0.018</v>
      </c>
      <c r="H19" s="7">
        <v>0.018</v>
      </c>
      <c r="I19" s="7">
        <v>0.018</v>
      </c>
      <c r="J19" s="7">
        <v>0.052</v>
      </c>
      <c r="K19" s="7">
        <v>0.052</v>
      </c>
      <c r="L19" s="7">
        <v>0.052</v>
      </c>
      <c r="M19" s="7">
        <v>0.052</v>
      </c>
      <c r="N19" s="7">
        <v>0.018</v>
      </c>
      <c r="O19" s="7">
        <v>0.018</v>
      </c>
      <c r="P19" s="7">
        <v>0.029</v>
      </c>
      <c r="Q19" s="7">
        <v>0.052</v>
      </c>
      <c r="R19" s="140"/>
      <c r="S19" s="7">
        <v>0.052</v>
      </c>
      <c r="T19" s="244"/>
      <c r="U19" s="518"/>
    </row>
    <row r="20" spans="1:21" ht="18.75" customHeight="1">
      <c r="A20" s="540"/>
      <c r="B20" s="543"/>
      <c r="C20" s="531"/>
      <c r="D20" s="546"/>
      <c r="E20" s="151" t="s">
        <v>247</v>
      </c>
      <c r="F20" s="152">
        <v>10000000</v>
      </c>
      <c r="G20" s="7">
        <v>0.022</v>
      </c>
      <c r="H20" s="7">
        <v>0.022</v>
      </c>
      <c r="I20" s="7">
        <v>0.022</v>
      </c>
      <c r="J20" s="24">
        <v>0.042</v>
      </c>
      <c r="K20" s="24">
        <v>0.042</v>
      </c>
      <c r="L20" s="24">
        <v>0.042</v>
      </c>
      <c r="M20" s="24">
        <v>0.042</v>
      </c>
      <c r="N20" s="7">
        <v>0.022</v>
      </c>
      <c r="O20" s="7">
        <v>0.022</v>
      </c>
      <c r="P20" s="7">
        <v>0.019</v>
      </c>
      <c r="Q20" s="7">
        <v>0.042</v>
      </c>
      <c r="R20" s="140"/>
      <c r="S20" s="7">
        <v>0.042</v>
      </c>
      <c r="T20" s="244"/>
      <c r="U20" s="518"/>
    </row>
    <row r="21" spans="1:21" ht="18.75" customHeight="1" thickBot="1">
      <c r="A21" s="541"/>
      <c r="B21" s="544"/>
      <c r="C21" s="532"/>
      <c r="D21" s="547"/>
      <c r="E21" s="153" t="s">
        <v>248</v>
      </c>
      <c r="F21" s="153"/>
      <c r="G21" s="88">
        <v>0.021</v>
      </c>
      <c r="H21" s="88">
        <v>0.021</v>
      </c>
      <c r="I21" s="88">
        <v>0.021</v>
      </c>
      <c r="J21" s="88">
        <v>0.03</v>
      </c>
      <c r="K21" s="88">
        <v>0.03</v>
      </c>
      <c r="L21" s="88">
        <v>0.03</v>
      </c>
      <c r="M21" s="88">
        <v>0.03</v>
      </c>
      <c r="N21" s="88">
        <v>0.021</v>
      </c>
      <c r="O21" s="88">
        <v>0.021</v>
      </c>
      <c r="P21" s="88">
        <v>0.018</v>
      </c>
      <c r="Q21" s="88">
        <v>0.03</v>
      </c>
      <c r="R21" s="141"/>
      <c r="S21" s="88">
        <v>0.03</v>
      </c>
      <c r="T21" s="245"/>
      <c r="U21" s="518"/>
    </row>
    <row r="22" spans="1:6" ht="12.75">
      <c r="A22" s="1"/>
      <c r="B22" s="3"/>
      <c r="C22" s="3"/>
      <c r="D22" s="2"/>
      <c r="E22" s="2"/>
      <c r="F22" s="2"/>
    </row>
    <row r="23" spans="1:6" ht="13.5" thickBot="1">
      <c r="A23" s="1"/>
      <c r="B23" s="3"/>
      <c r="C23" s="3"/>
      <c r="D23" s="2"/>
      <c r="E23" s="2"/>
      <c r="F23" s="2"/>
    </row>
    <row r="24" spans="1:6" ht="38.25" customHeight="1">
      <c r="A24" s="1"/>
      <c r="B24" s="3"/>
      <c r="C24" s="521" t="s">
        <v>474</v>
      </c>
      <c r="D24" s="522"/>
      <c r="E24" s="2"/>
      <c r="F24" s="2"/>
    </row>
    <row r="25" spans="1:6" ht="12.75" customHeight="1">
      <c r="A25" s="1"/>
      <c r="B25" s="3"/>
      <c r="C25" s="523"/>
      <c r="D25" s="524"/>
      <c r="E25" s="2"/>
      <c r="F25" s="2"/>
    </row>
    <row r="26" spans="1:6" ht="12.75" customHeight="1">
      <c r="A26" s="1"/>
      <c r="B26" s="3"/>
      <c r="C26" s="523"/>
      <c r="D26" s="524"/>
      <c r="E26" s="2"/>
      <c r="F26" s="2"/>
    </row>
    <row r="27" spans="1:6" ht="12.75">
      <c r="A27" s="1"/>
      <c r="B27" s="3"/>
      <c r="C27" s="523"/>
      <c r="D27" s="524"/>
      <c r="E27" s="2"/>
      <c r="F27" s="2"/>
    </row>
    <row r="28" spans="1:6" ht="13.5" thickBot="1">
      <c r="A28" s="1"/>
      <c r="B28" s="3"/>
      <c r="C28" s="525"/>
      <c r="D28" s="526"/>
      <c r="E28" s="2"/>
      <c r="F28" s="2"/>
    </row>
    <row r="29" spans="1:6" ht="12.75">
      <c r="A29" s="1"/>
      <c r="B29" s="3"/>
      <c r="C29" s="3"/>
      <c r="D29" s="2"/>
      <c r="E29" s="2"/>
      <c r="F29" s="2"/>
    </row>
    <row r="30" spans="1:3" ht="12.75">
      <c r="A30" s="1"/>
      <c r="B30" s="3"/>
      <c r="C30" s="3"/>
    </row>
    <row r="31" spans="2:3" ht="12.75">
      <c r="B31" s="3"/>
      <c r="C31" s="3"/>
    </row>
    <row r="32" spans="2:3" ht="12.75">
      <c r="B32" s="3"/>
      <c r="C32" s="3"/>
    </row>
    <row r="33" spans="2:3" ht="12.75">
      <c r="B33" s="3"/>
      <c r="C33" s="3"/>
    </row>
    <row r="34" spans="2:3" ht="12.75">
      <c r="B34" s="3"/>
      <c r="C34" s="3"/>
    </row>
    <row r="35" spans="2:3" ht="12.75">
      <c r="B35" s="3"/>
      <c r="C35" s="3"/>
    </row>
    <row r="36" spans="2:3" ht="12.75">
      <c r="B36" s="3"/>
      <c r="C36" s="3"/>
    </row>
  </sheetData>
  <sheetProtection/>
  <mergeCells count="23">
    <mergeCell ref="A4:A9"/>
    <mergeCell ref="A1:A2"/>
    <mergeCell ref="D3:F3"/>
    <mergeCell ref="N1:O1"/>
    <mergeCell ref="B4:B9"/>
    <mergeCell ref="D4:D9"/>
    <mergeCell ref="D1:F1"/>
    <mergeCell ref="D10:D15"/>
    <mergeCell ref="A16:A21"/>
    <mergeCell ref="B16:B21"/>
    <mergeCell ref="D16:D21"/>
    <mergeCell ref="A10:A15"/>
    <mergeCell ref="B10:B15"/>
    <mergeCell ref="U4:U9"/>
    <mergeCell ref="U10:U15"/>
    <mergeCell ref="U16:U21"/>
    <mergeCell ref="U1:U2"/>
    <mergeCell ref="C24:D28"/>
    <mergeCell ref="C10:C15"/>
    <mergeCell ref="C4:C9"/>
    <mergeCell ref="C16:C21"/>
    <mergeCell ref="E2:F2"/>
    <mergeCell ref="H1:M1"/>
  </mergeCells>
  <dataValidations count="1">
    <dataValidation type="list" allowBlank="1" showInputMessage="1" showErrorMessage="1" sqref="C3:C21">
      <formula1>$B$2:$C$2</formula1>
    </dataValidation>
  </dataValidations>
  <printOptions/>
  <pageMargins left="0.7" right="0.7" top="0.75" bottom="0.75" header="0.3" footer="0.3"/>
  <pageSetup horizontalDpi="600" verticalDpi="600" orientation="landscape" paperSize="9" r:id="rId2"/>
  <legacyDrawing r:id="rId1"/>
</worksheet>
</file>

<file path=xl/worksheets/sheet6.xml><?xml version="1.0" encoding="utf-8"?>
<worksheet xmlns="http://schemas.openxmlformats.org/spreadsheetml/2006/main" xmlns:r="http://schemas.openxmlformats.org/officeDocument/2006/relationships">
  <sheetPr codeName="Foglio1">
    <tabColor rgb="FFFFC000"/>
  </sheetPr>
  <dimension ref="B1:AQ63"/>
  <sheetViews>
    <sheetView zoomScale="115" zoomScaleNormal="115" zoomScalePageLayoutView="0" workbookViewId="0" topLeftCell="A4">
      <selection activeCell="Q8" sqref="Q8"/>
    </sheetView>
  </sheetViews>
  <sheetFormatPr defaultColWidth="9.140625" defaultRowHeight="12.75"/>
  <cols>
    <col min="1" max="1" width="1.28515625" style="11" customWidth="1"/>
    <col min="2" max="2" width="4.00390625" style="11" customWidth="1"/>
    <col min="3" max="3" width="6.57421875" style="11" customWidth="1"/>
    <col min="4" max="4" width="6.7109375" style="11" customWidth="1"/>
    <col min="5" max="5" width="13.57421875" style="11" customWidth="1"/>
    <col min="6" max="6" width="11.57421875" style="11" customWidth="1"/>
    <col min="7" max="7" width="9.8515625" style="11" customWidth="1"/>
    <col min="8" max="10" width="5.7109375" style="11" customWidth="1"/>
    <col min="11" max="11" width="6.00390625" style="11" customWidth="1"/>
    <col min="12" max="12" width="7.28125" style="11" customWidth="1"/>
    <col min="13" max="13" width="7.00390625" style="11" customWidth="1"/>
    <col min="14" max="14" width="8.28125" style="11" customWidth="1"/>
    <col min="15" max="15" width="11.28125" style="11" customWidth="1"/>
    <col min="16" max="16" width="11.00390625" style="11" customWidth="1"/>
    <col min="17" max="17" width="11.7109375" style="11" customWidth="1"/>
    <col min="18" max="18" width="14.57421875" style="11" customWidth="1"/>
    <col min="19" max="26" width="9.140625" style="11" customWidth="1"/>
    <col min="27" max="27" width="9.140625" style="25" customWidth="1"/>
    <col min="28" max="40" width="9.140625" style="11" customWidth="1"/>
    <col min="41" max="41" width="10.28125" style="11" customWidth="1"/>
    <col min="42" max="42" width="9.8515625" style="11" customWidth="1"/>
    <col min="43" max="43" width="10.28125" style="11" customWidth="1"/>
    <col min="44" max="16384" width="9.140625" style="11" customWidth="1"/>
  </cols>
  <sheetData>
    <row r="1" spans="2:27" ht="52.5" customHeight="1">
      <c r="B1" s="503" t="s">
        <v>477</v>
      </c>
      <c r="C1" s="504"/>
      <c r="D1" s="609"/>
      <c r="E1" s="607" t="str">
        <f>'PARC INGG'!E1:P1</f>
        <v>LAVORI DI RIQUALIFICAZIONE URBANA DEL CENTRO STORICO – 
RIQUALIFICAZIONE E VALORIZZAZIONE DELLA PIAZZA VITTORIO EMANUELE ORLANDO - CINISI (PA)</v>
      </c>
      <c r="F1" s="607"/>
      <c r="G1" s="607"/>
      <c r="H1" s="607"/>
      <c r="I1" s="607"/>
      <c r="J1" s="607"/>
      <c r="K1" s="607"/>
      <c r="L1" s="607"/>
      <c r="M1" s="607"/>
      <c r="N1" s="607"/>
      <c r="O1" s="607"/>
      <c r="P1" s="607"/>
      <c r="Q1" s="608"/>
      <c r="R1" s="69"/>
      <c r="AA1" s="11"/>
    </row>
    <row r="2" spans="2:27" ht="25.5" customHeight="1">
      <c r="B2" s="588" t="s">
        <v>476</v>
      </c>
      <c r="C2" s="589"/>
      <c r="D2" s="589"/>
      <c r="E2" s="589"/>
      <c r="F2" s="589"/>
      <c r="G2" s="589"/>
      <c r="H2" s="589"/>
      <c r="I2" s="589"/>
      <c r="J2" s="589"/>
      <c r="K2" s="589"/>
      <c r="L2" s="589"/>
      <c r="M2" s="589"/>
      <c r="N2" s="589"/>
      <c r="O2" s="589"/>
      <c r="P2" s="589"/>
      <c r="Q2" s="590"/>
      <c r="AA2" s="51"/>
    </row>
    <row r="3" spans="2:27" ht="31.5" customHeight="1">
      <c r="B3" s="611">
        <f>IF(TABGEOL!C3="SI","RILIEVI STUDI ED ANALISI 
Qa.III.03","")</f>
      </c>
      <c r="C3" s="612"/>
      <c r="D3" s="612"/>
      <c r="E3" s="612"/>
      <c r="F3" s="610">
        <f>IF(TABGEOL!C4="SI","PROGETTAZIONE PRELIMINARE
Qb.I.11","")</f>
      </c>
      <c r="G3" s="610"/>
      <c r="H3" s="610"/>
      <c r="I3" s="610"/>
      <c r="J3" s="613">
        <f>IF(TABGEOL!C10="SI","PROGETTAZIONE DEFINITIVA 
Qb.II.13","")</f>
      </c>
      <c r="K3" s="613"/>
      <c r="L3" s="613"/>
      <c r="M3" s="613"/>
      <c r="N3" s="613"/>
      <c r="O3" s="570">
        <f>IF(TABGEOL!C16="SI","ESECUZIONE LAVORI 
Qc.I.05.01","")</f>
      </c>
      <c r="P3" s="570"/>
      <c r="Q3" s="571"/>
      <c r="AA3" s="28" t="s">
        <v>66</v>
      </c>
    </row>
    <row r="4" spans="2:27" ht="55.5" customHeight="1">
      <c r="B4" s="488" t="s">
        <v>406</v>
      </c>
      <c r="C4" s="458" t="s">
        <v>529</v>
      </c>
      <c r="D4" s="458" t="s">
        <v>467</v>
      </c>
      <c r="E4" s="449" t="s">
        <v>407</v>
      </c>
      <c r="F4" s="449" t="s">
        <v>408</v>
      </c>
      <c r="G4" s="449" t="s">
        <v>490</v>
      </c>
      <c r="H4" s="576" t="s">
        <v>468</v>
      </c>
      <c r="I4" s="577"/>
      <c r="J4" s="577"/>
      <c r="K4" s="577"/>
      <c r="L4" s="577"/>
      <c r="M4" s="578"/>
      <c r="N4" s="440" t="s">
        <v>478</v>
      </c>
      <c r="O4" s="449" t="s">
        <v>409</v>
      </c>
      <c r="P4" s="568" t="s">
        <v>416</v>
      </c>
      <c r="Q4" s="605" t="s">
        <v>410</v>
      </c>
      <c r="AA4" s="28" t="s">
        <v>68</v>
      </c>
    </row>
    <row r="5" spans="2:43" ht="17.25" customHeight="1">
      <c r="B5" s="488"/>
      <c r="C5" s="458"/>
      <c r="D5" s="458"/>
      <c r="E5" s="449"/>
      <c r="F5" s="449"/>
      <c r="G5" s="449"/>
      <c r="H5" s="579"/>
      <c r="I5" s="580"/>
      <c r="J5" s="580"/>
      <c r="K5" s="580"/>
      <c r="L5" s="580"/>
      <c r="M5" s="581"/>
      <c r="N5" s="442"/>
      <c r="O5" s="449"/>
      <c r="P5" s="568"/>
      <c r="Q5" s="605"/>
      <c r="AA5" s="28" t="s">
        <v>69</v>
      </c>
      <c r="AH5" s="432" t="s">
        <v>567</v>
      </c>
      <c r="AI5" s="433"/>
      <c r="AJ5" s="433"/>
      <c r="AK5" s="433"/>
      <c r="AL5" s="433"/>
      <c r="AM5" s="434"/>
      <c r="AN5" s="572" t="s">
        <v>568</v>
      </c>
      <c r="AO5" s="567" t="s">
        <v>409</v>
      </c>
      <c r="AP5" s="568" t="s">
        <v>416</v>
      </c>
      <c r="AQ5" s="569" t="s">
        <v>566</v>
      </c>
    </row>
    <row r="6" spans="2:43" ht="21" customHeight="1">
      <c r="B6" s="488"/>
      <c r="C6" s="58" t="s">
        <v>457</v>
      </c>
      <c r="D6" s="58" t="s">
        <v>457</v>
      </c>
      <c r="E6" s="449"/>
      <c r="F6" s="57" t="s">
        <v>455</v>
      </c>
      <c r="G6" s="58" t="s">
        <v>492</v>
      </c>
      <c r="H6" s="582" t="s">
        <v>493</v>
      </c>
      <c r="I6" s="583"/>
      <c r="J6" s="583"/>
      <c r="K6" s="583"/>
      <c r="L6" s="583"/>
      <c r="M6" s="583"/>
      <c r="N6" s="584"/>
      <c r="O6" s="449"/>
      <c r="P6" s="568"/>
      <c r="Q6" s="605"/>
      <c r="AA6" s="28" t="s">
        <v>70</v>
      </c>
      <c r="AH6" s="435"/>
      <c r="AI6" s="436"/>
      <c r="AJ6" s="436"/>
      <c r="AK6" s="436"/>
      <c r="AL6" s="436"/>
      <c r="AM6" s="437"/>
      <c r="AN6" s="573"/>
      <c r="AO6" s="567"/>
      <c r="AP6" s="568"/>
      <c r="AQ6" s="569"/>
    </row>
    <row r="7" spans="2:43" ht="25.5" customHeight="1">
      <c r="B7" s="488"/>
      <c r="C7" s="130">
        <v>42538</v>
      </c>
      <c r="D7" s="58" t="s">
        <v>539</v>
      </c>
      <c r="E7" s="138" t="s">
        <v>62</v>
      </c>
      <c r="F7" s="138" t="s">
        <v>134</v>
      </c>
      <c r="G7" s="6" t="s">
        <v>135</v>
      </c>
      <c r="H7" s="90">
        <f>IF($C8&lt;&gt;"",250,"")</f>
        <v>250</v>
      </c>
      <c r="I7" s="90">
        <f>IF(MAX($E8:$E13)&gt;250000,500,"")</f>
        <v>500</v>
      </c>
      <c r="J7" s="90">
        <f>IF(MAX($E8:$E13)&gt;500000,1000,"")</f>
      </c>
      <c r="K7" s="90">
        <f>IF(MAX($E8:$E13)&gt;1000000,2500,"")</f>
      </c>
      <c r="L7" s="90">
        <f>IF(MAX($E8:$E13)&gt;2500000,10000,"")</f>
      </c>
      <c r="M7" s="90">
        <f>IF(MAX($E8:$E13)&gt;10000000,MAX($E8:$E13)/1000,"")</f>
      </c>
      <c r="N7" s="6" t="s">
        <v>473</v>
      </c>
      <c r="O7" s="59" t="s">
        <v>62</v>
      </c>
      <c r="P7" s="59" t="s">
        <v>62</v>
      </c>
      <c r="Q7" s="82" t="s">
        <v>62</v>
      </c>
      <c r="AA7" s="28" t="s">
        <v>71</v>
      </c>
      <c r="AH7" s="311">
        <f>IF($C8&lt;&gt;"",250,"")</f>
        <v>250</v>
      </c>
      <c r="AI7" s="311">
        <f>IF(MAX($E8:$E13)&gt;250000,500,"")</f>
        <v>500</v>
      </c>
      <c r="AJ7" s="311">
        <f>IF(MAX($E8:$E13)&gt;500000,1000,"")</f>
      </c>
      <c r="AK7" s="311">
        <f>IF(MAX($E8:$E13)&gt;1000000,2500,"")</f>
      </c>
      <c r="AL7" s="311">
        <f>IF(MAX($E8:$E13)&gt;2500000,10000,"")</f>
      </c>
      <c r="AM7" s="311">
        <f>IF(MAX($E8:$E13)&gt;10000000,MAX($E8:$E13)/1000,"")</f>
      </c>
      <c r="AN7" s="574"/>
      <c r="AO7" s="567"/>
      <c r="AP7" s="568"/>
      <c r="AQ7" s="569"/>
    </row>
    <row r="8" spans="2:43" ht="21.75" customHeight="1">
      <c r="B8" s="81">
        <v>1</v>
      </c>
      <c r="C8" s="260" t="str">
        <f>IF('PARC INGG'!C9&lt;&gt;"",'PARC INGG'!C9,"")</f>
        <v>E.19</v>
      </c>
      <c r="D8" s="61" t="str">
        <f>IF(C8&lt;&gt;"",VLOOKUP(C8,'Tab Z-1'!$C$3:$G$63,$C$1+3,FALSE),"")</f>
        <v>I/b</v>
      </c>
      <c r="E8" s="68">
        <f>IF(C8&lt;&gt;"",'PARC INGG'!E9,0)</f>
        <v>347011.69238382194</v>
      </c>
      <c r="F8" s="62">
        <f aca="true" t="shared" si="0" ref="F8:F13">IF(C8&lt;&gt;"",_xlfn.IFERROR(0.03+10/E8^0.4,""),"")</f>
        <v>0.09079422922344471</v>
      </c>
      <c r="G8" s="61">
        <f>IF(C8&lt;&gt;"",VLOOKUP(C8,'Tab Z-1'!$C$3:$G$63,$C$1+5,FALSE),"")</f>
        <v>1.2</v>
      </c>
      <c r="H8" s="63">
        <f>IF($C8&lt;&gt;"",IF(TABGEOL!$C$4="SI",IF(LEFT($C8,2)="S.",HLOOKUP($C8,TABGEOL!$G$2:$T$21,3,FALSE),HLOOKUP(LEFT($C8,2),TABGEOL!$G$2:$T$21,3,FALSE)),0)+IF(TABGEOL!$C$10="SI",IF(LEFT($C8,2)="S.",HLOOKUP($C8,TABGEOL!$G$2:$T$21,9,FALSE),HLOOKUP(LEFT($C8,2),TABGEOL!$G$2:$T$21,9,FALSE)),0)+IF(TABGEOL!$C$16="SI",IF(LEFT($C8,2)="S.",HLOOKUP($C8,TABGEOL!$G$2:$T$21,15,FALSE),HLOOKUP(LEFT($C8,2),TABGEOL!$G$2:$T$21,15,FALSE)),0),"")</f>
        <v>0</v>
      </c>
      <c r="I8" s="63">
        <f>IF($C8&lt;&gt;"",IF($E8&gt;250000,IF(TABGEOL!$C$4="SI",IF(LEFT($C8,2)="S.",HLOOKUP($C8,TABGEOL!$G$2:$T$21,4,FALSE),HLOOKUP(LEFT($C8,2),TABGEOL!$G$2:$T$21,4,FALSE)),0)+IF(TABGEOL!$C$10="SI",IF(LEFT($C8,2)="S.",HLOOKUP($C8,TABGEOL!$G$2:$T$21,10,FALSE),HLOOKUP(LEFT($C8,2),TABGEOL!$G$2:$T$21,10,FALSE)),0)+IF(TABGEOL!$C$16="SI",IF(LEFT($C8,2)="S.",HLOOKUP($C8,TABGEOL!$G$2:$T$21,16,FALSE),HLOOKUP(LEFT($C8,2),TABGEOL!$G$2:$T$21,16,FALSE)),0),""),"")</f>
        <v>0</v>
      </c>
      <c r="J8" s="63">
        <f>IF($C8&lt;&gt;"",IF($E8&gt;500000,IF(TABGEOL!$C$4="SI",IF(LEFT($C8,2)="S.",HLOOKUP($C8,TABGEOL!$G$2:$T$21,5,FALSE),HLOOKUP(LEFT($C8,2),TABGEOL!$G$2:$T$21,5,FALSE)),0)+IF(TABGEOL!$C$10="SI",IF(LEFT($C8,2)="S.",HLOOKUP($C8,TABGEOL!$G$2:$T$21,11,FALSE),HLOOKUP(LEFT($C8,2),TABGEOL!$G$2:$T$21,11,FALSE)),0)+IF(TABGEOL!$C$16="SI",IF(LEFT($C8,2)="S.",HLOOKUP($C8,TABGEOL!$G$2:$T$21,17,FALSE),HLOOKUP(LEFT($C8,2),TABGEOL!$G$2:$T$21,17,FALSE)),0),""),"")</f>
      </c>
      <c r="K8" s="63">
        <f>IF($C8&lt;&gt;"",IF($E8&gt;1000000,IF(TABGEOL!$C$4="SI",IF(LEFT($C8,2)="S.",HLOOKUP($C8,TABGEOL!$G$2:$T$21,6,FALSE),HLOOKUP(LEFT($C8,2),TABGEOL!$G$2:$T$21,6,FALSE)),0)+IF(TABGEOL!$C$10="SI",IF(LEFT($C8,2)="S.",HLOOKUP($C8,TABGEOL!$G$2:$T$21,12,FALSE),HLOOKUP(LEFT($C8,2),TABGEOL!$G$2:$T$21,12,FALSE)),0)+IF(TABGEOL!$C$16="SI",IF(LEFT($C8,2)="S.",HLOOKUP($C8,TABGEOL!$G$2:$T$21,18,FALSE),HLOOKUP(LEFT($C8,2),TABGEOL!$G$2:$T$21,18,FALSE)),0),""),"")</f>
      </c>
      <c r="L8" s="63">
        <f>IF($C8&lt;&gt;"",IF($E8&gt;2500000,IF(TABGEOL!$C$4="SI",IF(LEFT($C8,2)="S.",HLOOKUP($C8,TABGEOL!$G$2:$T$21,7,FALSE),HLOOKUP(LEFT($C8,2),TABGEOL!$G$2:$T$21,7,FALSE)),0)+IF(TABGEOL!$C$10="SI",IF(LEFT($C8,2)="S.",HLOOKUP($C8,TABGEOL!$G$2:$T$21,13,FALSE),HLOOKUP(LEFT($C8,2),TABGEOL!$G$2:$T$21,13,FALSE)),0)+IF(TABGEOL!$C$16="SI",IF(LEFT($C8,2)="S.",HLOOKUP($C8,TABGEOL!$G$2:$T$21,19,FALSE),HLOOKUP(LEFT($C8,2),TABGEOL!$G$2:$T$21,19,FALSE)),0),""),"")</f>
      </c>
      <c r="M8" s="63">
        <f>IF($C8&lt;&gt;"",IF($E8&gt;10000000,IF(TABGEOL!$C$4="SI",IF(LEFT($C8,2)="S.",HLOOKUP($C8,TABGEOL!$G$2:$T$21,8,FALSE),HLOOKUP(LEFT($C8,2),TABGEOL!$G$2:$T$21,8,FALSE)),0)+IF(TABGEOL!$C$10="SI",IF(LEFT($C8,2)="S.",HLOOKUP($C8,TABGEOL!$G$2:$T$21,14,FALSE),HLOOKUP(LEFT($C8,2),TABGEOL!$G$2:$T$21,14,FALSE)),0)+IF(TABGEOL!$C$16="SI",IF(LEFT($C8,2)="S.",HLOOKUP($C8,TABGEOL!$G$2:$T$21,20,FALSE),HLOOKUP(LEFT($C8,2),TABGEOL!$G$2:$T$21,20,FALSE)),0),""),"")</f>
      </c>
      <c r="N8" s="63">
        <f>IF($C8&lt;&gt;"",IF(TABGEOL!$C$3="SI",IF(OR(LEFT($C8,2)="P.",LEFT($C8,2)="U."),HLOOKUP(LEFT($C8,2),TABGEOL!$G$2:$T$21,2,FALSE),0),0),"")</f>
        <v>0</v>
      </c>
      <c r="O8" s="64">
        <f>IF(E8&lt;&gt;0,_xlfn.IFERROR(IF(E8&lt;=250000,E8*F8*G8*(H8+N8),IF(AND(E8&gt;250000,E8&lt;=500000),250000*F8*G8*(H8+N8)+(E8-250000)*F8*G8*(I8+N8),IF(AND(E8&gt;500000,E8&lt;=1000000),250000*F8*G8*(H8+N8)+250000*F8*G8*(I8+N8)+(E8-500000)*F8*G8*(J8+N8),IF(AND(E8&gt;1000000,E8&lt;=2500000),250000*F8*G8*(H8+N8)+250000*F8*G8*(I8+N8)+500000*F8*G8*(J8+N8)+(E8-1000000)*F8*G8*(K8+N8),IF(AND(E8&gt;2500000,E8&lt;=10000000),250000*F8*G8*(H8+N8)+250000*F8*G8*(I8+N8)+500000*F8*G8*(J8+N8)+1500000*F8*G8*(K8+N8)+(E8-2500000)*F8*G8*(L8+N8),IF(E8&gt;10000000,250000*F8*G8*(H8+N8)+250000*F8*G8*(I8+N8)+500000*F8*G8*(J8+N8)+1500000*F8*G8*(K8+N8)+7500000*F8*G8*(L8+N8)+(E8-10000000)*F8*G8*(M8+N8),0)))))),””),"")</f>
        <v>0</v>
      </c>
      <c r="P8" s="64">
        <f aca="true" t="shared" si="1" ref="P8:P13">IF(C8&lt;&gt;"",_xlfn.IFERROR(O8*$G$14,""),"")</f>
        <v>0</v>
      </c>
      <c r="Q8" s="83">
        <f aca="true" t="shared" si="2" ref="Q8:Q13">IF(C8&lt;&gt;"",_xlfn.IFERROR(O8+P8,""),"")</f>
        <v>0</v>
      </c>
      <c r="R8" s="143" t="str">
        <f aca="true" t="shared" si="3" ref="R8:R13">_xlfn.IFERROR(D8,"ATTENZIONE E' STATO IMMESSO UN ID NON PRESENTE NELLA Tab Z-1")</f>
        <v>I/b</v>
      </c>
      <c r="AA8" s="28" t="s">
        <v>72</v>
      </c>
      <c r="AH8" s="63">
        <f>IF($C8&lt;&gt;"",IF(TABGEOL!$C$16="SI",IF(LEFT($C8,2)="S.",HLOOKUP($C8,TABGEOL!$G$2:$T$21,15,FALSE),HLOOKUP(LEFT($C8,2),TABGEOL!$G$2:$T$21,15,FALSE)),0),"")</f>
        <v>0</v>
      </c>
      <c r="AI8" s="63">
        <f>IF($C8&lt;&gt;"",IF($E8&gt;250000,IF(TABGEOL!$C$16="SI",IF(LEFT($C8,2)="S.",HLOOKUP($C8,TABGEOL!$G$2:$T$21,16,FALSE),HLOOKUP(LEFT($C8,2),TABGEOL!$G$2:$T$21,16,FALSE)),0),""),"")</f>
        <v>0</v>
      </c>
      <c r="AJ8" s="63">
        <f>IF($C8&lt;&gt;"",IF($E8&gt;500000,IF(TABGEOL!$C$16="SI",IF(LEFT($C8,2)="S.",HLOOKUP($C8,TABGEOL!$G$2:$T$21,17,FALSE),HLOOKUP(LEFT($C8,2),TABGEOL!$G$2:$T$21,17,FALSE)),0),""),"")</f>
      </c>
      <c r="AK8" s="63">
        <f>IF($C8&lt;&gt;"",IF($E8&gt;1000000,IF(TABGEOL!$C$16="SI",IF(LEFT($C8,2)="S.",HLOOKUP($C8,TABGEOL!$G$2:$T$21,18,FALSE),HLOOKUP(LEFT($C8,2),TABGEOL!$G$2:$T$21,18,FALSE)),0),""),"")</f>
      </c>
      <c r="AL8" s="63">
        <f>IF($C8&lt;&gt;"",IF($E8&gt;2500000,IF(TABGEOL!$C$16="SI",IF(LEFT($C8,2)="S.",HLOOKUP($C8,TABGEOL!$G$2:$T$21,19,FALSE),HLOOKUP(LEFT($C8,2),TABGEOL!$G$2:$T$21,19,FALSE)),0),""),"")</f>
      </c>
      <c r="AM8" s="63">
        <f>IF($C8&lt;&gt;"",IF($E8&gt;10000000,IF(TABGEOL!$C$16="SI",IF(LEFT($C8,2)="S.",HLOOKUP($C8,TABGEOL!$G$2:$T$21,20,FALSE),HLOOKUP(LEFT($C8,2),TABGEOL!$G$2:$T$21,20,FALSE)),0),""),"")</f>
      </c>
      <c r="AN8" s="138" t="str">
        <f aca="true" t="shared" si="4" ref="AN8:AN13">C8</f>
        <v>E.19</v>
      </c>
      <c r="AO8" s="64">
        <f>IF(E8&lt;&gt;0,_xlfn.IFERROR(IF(E8&lt;=250000,E8*F8*G8*AH8,IF(AND(E8&gt;250000,E8&lt;=500000),250000*F8*G8*AH8+(E8-250000)*F8*G8*AI8,IF(AND(E8&gt;500000,E8&lt;=1000000),250000*F8*G8*AH8+250000*F8*G8*AI8+(E8-500000)*F8*G8*AJ8,IF(AND(E8&gt;1000000,E8&lt;=2500000),250000*F8*G8*AH8+250000*F8*G8*AI8+500000*F8*G8*AJ8+(E8-1000000)*F8*G8*AK8,IF(AND(E8&gt;2500000,E8&lt;=10000000),250000*F8*G8*AH8+250000*F8*G8*AI8+500000*F8*G8*AJ8+1500000*F8*G8*AK8+(E8-2500000)*F8*G8*AL8,IF(E8&gt;10000000,250000*F8*G8*AH8+250000*F8*G8*AI8+500000*F8*G8*AJ8+1500000*F8*G8*AK8+7500000*F8*G8*AL8+(E8-10000000)*F8*G8*AM8,0)))))),””),"")</f>
        <v>0</v>
      </c>
      <c r="AP8" s="64">
        <f aca="true" t="shared" si="5" ref="AP8:AP13">IF(C8&lt;&gt;"",_xlfn.IFERROR(AO8*$G$14,""),"")</f>
        <v>0</v>
      </c>
      <c r="AQ8" s="309">
        <f aca="true" t="shared" si="6" ref="AQ8:AQ13">IF(AO8&lt;&gt;"",AO8+AP8,"")</f>
        <v>0</v>
      </c>
    </row>
    <row r="9" spans="2:43" ht="21.75" customHeight="1">
      <c r="B9" s="81">
        <f>IF(AND(C8&lt;&gt;"",C9&lt;&gt;""),B8+1,"")</f>
        <v>2</v>
      </c>
      <c r="C9" s="260" t="str">
        <f>IF('PARC INGG'!C10&lt;&gt;"",'PARC INGG'!C10,"")</f>
        <v>E.22</v>
      </c>
      <c r="D9" s="61" t="str">
        <f>IF(C9&lt;&gt;"",VLOOKUP(C9,'Tab Z-1'!$C$3:$G$63,$C$1+3,FALSE),"")</f>
        <v>I/b</v>
      </c>
      <c r="E9" s="68">
        <f>IF(C9&lt;&gt;"",'PARC INGG'!E10,0)</f>
        <v>51039.22991930499</v>
      </c>
      <c r="F9" s="62">
        <f t="shared" si="0"/>
        <v>0.16086947336212187</v>
      </c>
      <c r="G9" s="61">
        <f>IF(C9&lt;&gt;"",VLOOKUP(C9,'Tab Z-1'!$C$3:$G$63,$C$1+5,FALSE),"")</f>
        <v>1.55</v>
      </c>
      <c r="H9" s="63">
        <f>IF($C9&lt;&gt;"",IF(TABGEOL!$C$4="SI",IF(LEFT($C9,2)="S.",HLOOKUP($C9,TABGEOL!$G$2:$T$21,3,FALSE),HLOOKUP(LEFT($C9,2),TABGEOL!$G$2:$T$21,3,FALSE)),0)+IF(TABGEOL!$C$10="SI",IF(LEFT($C9,2)="S.",HLOOKUP($C9,TABGEOL!$G$2:$T$21,9,FALSE),HLOOKUP(LEFT($C9,2),TABGEOL!$G$2:$T$21,9,FALSE)),0)+IF(TABGEOL!$C$16="SI",IF(LEFT($C9,2)="S.",HLOOKUP($C9,TABGEOL!$G$2:$T$21,15,FALSE),HLOOKUP(LEFT($C9,2),TABGEOL!$G$2:$T$21,15,FALSE)),0),"")</f>
        <v>0</v>
      </c>
      <c r="I9" s="63">
        <f>IF($C9&lt;&gt;"",IF($E9&gt;250000,IF(TABGEOL!$C$4="SI",IF(LEFT($C9,2)="S.",HLOOKUP($C9,TABGEOL!$G$2:$T$21,4,FALSE),HLOOKUP(LEFT($C9,2),TABGEOL!$G$2:$T$21,4,FALSE)),0)+IF(TABGEOL!$C$10="SI",IF(LEFT($C9,2)="S.",HLOOKUP($C9,TABGEOL!$G$2:$T$21,10,FALSE),HLOOKUP(LEFT($C9,2),TABGEOL!$G$2:$T$21,10,FALSE)),0)+IF(TABGEOL!$C$16="SI",IF(LEFT($C9,2)="S.",HLOOKUP($C9,TABGEOL!$G$2:$T$21,16,FALSE),HLOOKUP(LEFT($C9,2),TABGEOL!$G$2:$T$21,16,FALSE)),0),""),"")</f>
      </c>
      <c r="J9" s="63">
        <f>IF($C9&lt;&gt;"",IF($E9&gt;500000,IF(TABGEOL!$C$4="SI",IF(LEFT($C9,2)="S.",HLOOKUP($C9,TABGEOL!$G$2:$T$21,5,FALSE),HLOOKUP(LEFT($C9,2),TABGEOL!$G$2:$T$21,5,FALSE)),0)+IF(TABGEOL!$C$10="SI",IF(LEFT($C9,2)="S.",HLOOKUP($C9,TABGEOL!$G$2:$T$21,11,FALSE),HLOOKUP(LEFT($C9,2),TABGEOL!$G$2:$T$21,11,FALSE)),0)+IF(TABGEOL!$C$16="SI",IF(LEFT($C9,2)="S.",HLOOKUP($C9,TABGEOL!$G$2:$T$21,17,FALSE),HLOOKUP(LEFT($C9,2),TABGEOL!$G$2:$T$21,17,FALSE)),0),""),"")</f>
      </c>
      <c r="K9" s="63">
        <f>IF($C9&lt;&gt;"",IF($E9&gt;1000000,IF(TABGEOL!$C$4="SI",IF(LEFT($C9,2)="S.",HLOOKUP($C9,TABGEOL!$G$2:$T$21,6,FALSE),HLOOKUP(LEFT($C9,2),TABGEOL!$G$2:$T$21,6,FALSE)),0)+IF(TABGEOL!$C$10="SI",IF(LEFT($C9,2)="S.",HLOOKUP($C9,TABGEOL!$G$2:$T$21,12,FALSE),HLOOKUP(LEFT($C9,2),TABGEOL!$G$2:$T$21,12,FALSE)),0)+IF(TABGEOL!$C$16="SI",IF(LEFT($C9,2)="S.",HLOOKUP($C9,TABGEOL!$G$2:$T$21,18,FALSE),HLOOKUP(LEFT($C9,2),TABGEOL!$G$2:$T$21,18,FALSE)),0),""),"")</f>
      </c>
      <c r="L9" s="63">
        <f>IF($C9&lt;&gt;"",IF($E9&gt;2500000,IF(TABGEOL!$C$4="SI",IF(LEFT($C9,2)="S.",HLOOKUP($C9,TABGEOL!$G$2:$T$21,7,FALSE),HLOOKUP(LEFT($C9,2),TABGEOL!$G$2:$T$21,7,FALSE)),0)+IF(TABGEOL!$C$10="SI",IF(LEFT($C9,2)="S.",HLOOKUP($C9,TABGEOL!$G$2:$T$21,13,FALSE),HLOOKUP(LEFT($C9,2),TABGEOL!$G$2:$T$21,13,FALSE)),0)+IF(TABGEOL!$C$16="SI",IF(LEFT($C9,2)="S.",HLOOKUP($C9,TABGEOL!$G$2:$T$21,19,FALSE),HLOOKUP(LEFT($C9,2),TABGEOL!$G$2:$T$21,19,FALSE)),0),""),"")</f>
      </c>
      <c r="M9" s="63">
        <f>IF($C9&lt;&gt;"",IF($E9&gt;10000000,IF(TABGEOL!$C$4="SI",IF(LEFT($C9,2)="S.",HLOOKUP($C9,TABGEOL!$G$2:$T$21,8,FALSE),HLOOKUP(LEFT($C9,2),TABGEOL!$G$2:$T$21,8,FALSE)),0)+IF(TABGEOL!$C$10="SI",IF(LEFT($C9,2)="S.",HLOOKUP($C9,TABGEOL!$G$2:$T$21,14,FALSE),HLOOKUP(LEFT($C9,2),TABGEOL!$G$2:$T$21,14,FALSE)),0)+IF(TABGEOL!$C$16="SI",IF(LEFT($C9,2)="S.",HLOOKUP($C9,TABGEOL!$G$2:$T$21,20,FALSE),HLOOKUP(LEFT($C9,2),TABGEOL!$G$2:$T$21,20,FALSE)),0),""),"")</f>
      </c>
      <c r="N9" s="63">
        <f>IF($C9&lt;&gt;"",IF(TABGEOL!$C$3="SI",IF(OR(LEFT($C9,2)="P.",LEFT($C9,2)="U."),HLOOKUP(LEFT($C9,2),TABGEOL!$G$2:$T$21,2,FALSE),0),0),"")</f>
        <v>0</v>
      </c>
      <c r="O9" s="64">
        <f>IF(E9&lt;&gt;0,_xlfn.IFERROR(IF(E9&lt;=250000,E9*F9*G9*(H9+N9),IF(AND(E9&gt;250000,E9&lt;=500000),250000*F9*G9*(H9+N9)+(E9-250000)*F9*G9*(I9+N9),IF(AND(E9&gt;500000,E9&lt;=1000000),250000*F9*G9*(H9+N9)+250000*F9*G9*(I9+N9)+(E9-500000)*F9*G9*(J9+N9),IF(AND(E9&gt;1000000,E9&lt;=2500000),250000*F9*G9*(H9+N9)+250000*F9*G9*(I9+N9)+500000*F9*G9*(J9+N9)+(E9-1000000)*F9*G9*(K9+N9),IF(AND(E9&gt;2500000,E9&lt;=10000000),250000*F9*G9*(H9+N9)+250000*F9*G9*(I9+N9)+500000*F9*G9*(J9+N9)+1500000*F9*G9*(K9+N9)+(E9-2500000)*F9*G9*(L9+N9),IF(E9&gt;10000000,250000*F9*G9*(H9+N9)+250000*F9*G9*(I9+N9)+500000*F9*G9*(J9+N9)+1500000*F9*G9*(K9+N9)+7500000*F9*G9*(L9+N9)+(E9-10000000)*F9*G9*(M9+N9),0)))))),””),"")</f>
        <v>0</v>
      </c>
      <c r="P9" s="64">
        <f t="shared" si="1"/>
        <v>0</v>
      </c>
      <c r="Q9" s="83">
        <f t="shared" si="2"/>
        <v>0</v>
      </c>
      <c r="R9" s="143" t="str">
        <f t="shared" si="3"/>
        <v>I/b</v>
      </c>
      <c r="AA9" s="28" t="s">
        <v>73</v>
      </c>
      <c r="AH9" s="63">
        <f>IF($C9&lt;&gt;"",IF(TABGEOL!$C$16="SI",IF(LEFT($C9,2)="S.",HLOOKUP($C9,TABGEOL!$G$2:$T$21,15,FALSE),HLOOKUP(LEFT($C9,2),TABGEOL!$G$2:$T$21,15,FALSE)),0),"")</f>
        <v>0</v>
      </c>
      <c r="AI9" s="63">
        <f>IF($C9&lt;&gt;"",IF($E9&gt;250000,IF(TABGEOL!$C$16="SI",IF(LEFT($C9,2)="S.",HLOOKUP($C9,TABGEOL!$G$2:$T$21,16,FALSE),HLOOKUP(LEFT($C9,2),TABGEOL!$G$2:$T$21,16,FALSE)),0),""),"")</f>
      </c>
      <c r="AJ9" s="63">
        <f>IF($C9&lt;&gt;"",IF($E9&gt;500000,IF(TABGEOL!$C$16="SI",IF(LEFT($C9,2)="S.",HLOOKUP($C9,TABGEOL!$G$2:$T$21,17,FALSE),HLOOKUP(LEFT($C9,2),TABGEOL!$G$2:$T$21,17,FALSE)),0),""),"")</f>
      </c>
      <c r="AK9" s="63">
        <f>IF($C9&lt;&gt;"",IF($E9&gt;1000000,IF(TABGEOL!$C$16="SI",IF(LEFT($C9,2)="S.",HLOOKUP($C9,TABGEOL!$G$2:$T$21,18,FALSE),HLOOKUP(LEFT($C9,2),TABGEOL!$G$2:$T$21,18,FALSE)),0),""),"")</f>
      </c>
      <c r="AL9" s="63">
        <f>IF($C9&lt;&gt;"",IF($E9&gt;2500000,IF(TABGEOL!$C$16="SI",IF(LEFT($C9,2)="S.",HLOOKUP($C9,TABGEOL!$G$2:$T$21,19,FALSE),HLOOKUP(LEFT($C9,2),TABGEOL!$G$2:$T$21,19,FALSE)),0),""),"")</f>
      </c>
      <c r="AM9" s="63">
        <f>IF($C9&lt;&gt;"",IF($E9&gt;10000000,IF(TABGEOL!$C$16="SI",IF(LEFT($C9,2)="S.",HLOOKUP($C9,TABGEOL!$G$2:$T$21,20,FALSE),HLOOKUP(LEFT($C9,2),TABGEOL!$G$2:$T$21,20,FALSE)),0),""),"")</f>
      </c>
      <c r="AN9" s="138" t="str">
        <f t="shared" si="4"/>
        <v>E.22</v>
      </c>
      <c r="AO9" s="64">
        <f>IF(E9&lt;&gt;0,_xlfn.IFERROR(IF(E9&lt;=250000,E9*F9*G9*AH9,IF(AND(E9&gt;250000,E9&lt;=500000),250000*F9*G9*AH9+(E9-250000)*F9*G9*AI9,IF(AND(E9&gt;500000,E9&lt;=1000000),250000*F9*G9*AH9+250000*F9*G9*AI9+(E9-500000)*F9*G9*AJ9,IF(AND(E9&gt;1000000,E9&lt;=2500000),250000*F9*G9*AH9+250000*F9*G9*AI9+500000*F9*G9*AJ9+(E9-1000000)*F9*G9*AK9,IF(AND(E9&gt;2500000,E9&lt;=10000000),250000*F9*G9*AH9+250000*F9*G9*AI9+500000*F9*G9*AJ9+1500000*F9*G9*AK9+(E9-2500000)*F9*G9*AL9,IF(E9&gt;10000000,250000*F9*G9*AH9+250000*F9*G9*AI9+500000*F9*G9*AJ9+1500000*F9*G9*AK9+7500000*F9*G9*AL9+(E9-10000000)*F9*G9*AM9,0)))))),””),"")</f>
        <v>0</v>
      </c>
      <c r="AP9" s="64">
        <f t="shared" si="5"/>
        <v>0</v>
      </c>
      <c r="AQ9" s="309">
        <f t="shared" si="6"/>
        <v>0</v>
      </c>
    </row>
    <row r="10" spans="2:43" ht="21.75" customHeight="1">
      <c r="B10" s="81">
        <f>IF(AND(C9&lt;&gt;"",C10&lt;&gt;""),B9+1,"")</f>
        <v>3</v>
      </c>
      <c r="C10" s="260" t="str">
        <f>IF('PARC INGG'!C11&lt;&gt;"",'PARC INGG'!C11,"")</f>
        <v>S.03</v>
      </c>
      <c r="D10" s="61" t="str">
        <f>IF(C10&lt;&gt;"",VLOOKUP(C10,'Tab Z-1'!$C$3:$G$63,$C$1+3,FALSE),"")</f>
        <v>I/b</v>
      </c>
      <c r="E10" s="68">
        <f>IF(C10&lt;&gt;"",'PARC INGG'!E11,0)</f>
        <v>12919.31381418353</v>
      </c>
      <c r="F10" s="62">
        <f t="shared" si="0"/>
        <v>0.2567275113140992</v>
      </c>
      <c r="G10" s="61">
        <f>IF(C10&lt;&gt;"",VLOOKUP(C10,'Tab Z-1'!$C$3:$G$63,$C$1+5,FALSE),"")</f>
        <v>0.95</v>
      </c>
      <c r="H10" s="63">
        <f>IF($C10&lt;&gt;"",IF(TABGEOL!$C$4="SI",IF(LEFT($C10,2)="S.",HLOOKUP($C10,TABGEOL!$G$2:$T$21,3,FALSE),HLOOKUP(LEFT($C10,2),TABGEOL!$G$2:$T$21,3,FALSE)),0)+IF(TABGEOL!$C$10="SI",IF(LEFT($C10,2)="S.",HLOOKUP($C10,TABGEOL!$G$2:$T$21,9,FALSE),HLOOKUP(LEFT($C10,2),TABGEOL!$G$2:$T$21,9,FALSE)),0)+IF(TABGEOL!$C$16="SI",IF(LEFT($C10,2)="S.",HLOOKUP($C10,TABGEOL!$G$2:$T$21,15,FALSE),HLOOKUP(LEFT($C10,2),TABGEOL!$G$2:$T$21,15,FALSE)),0),"")</f>
        <v>0</v>
      </c>
      <c r="I10" s="63">
        <f>IF($C10&lt;&gt;"",IF($E10&gt;250000,IF(TABGEOL!$C$4="SI",IF(LEFT($C10,2)="S.",HLOOKUP($C10,TABGEOL!$G$2:$T$21,4,FALSE),HLOOKUP(LEFT($C10,2),TABGEOL!$G$2:$T$21,4,FALSE)),0)+IF(TABGEOL!$C$10="SI",IF(LEFT($C10,2)="S.",HLOOKUP($C10,TABGEOL!$G$2:$T$21,10,FALSE),HLOOKUP(LEFT($C10,2),TABGEOL!$G$2:$T$21,10,FALSE)),0)+IF(TABGEOL!$C$16="SI",IF(LEFT($C10,2)="S.",HLOOKUP($C10,TABGEOL!$G$2:$T$21,16,FALSE),HLOOKUP(LEFT($C10,2),TABGEOL!$G$2:$T$21,16,FALSE)),0),""),"")</f>
      </c>
      <c r="J10" s="63">
        <f>IF($C10&lt;&gt;"",IF($E10&gt;500000,IF(TABGEOL!$C$4="SI",IF(LEFT($C10,2)="S.",HLOOKUP($C10,TABGEOL!$G$2:$T$21,5,FALSE),HLOOKUP(LEFT($C10,2),TABGEOL!$G$2:$T$21,5,FALSE)),0)+IF(TABGEOL!$C$10="SI",IF(LEFT($C10,2)="S.",HLOOKUP($C10,TABGEOL!$G$2:$T$21,11,FALSE),HLOOKUP(LEFT($C10,2),TABGEOL!$G$2:$T$21,11,FALSE)),0)+IF(TABGEOL!$C$16="SI",IF(LEFT($C10,2)="S.",HLOOKUP($C10,TABGEOL!$G$2:$T$21,17,FALSE),HLOOKUP(LEFT($C10,2),TABGEOL!$G$2:$T$21,17,FALSE)),0),""),"")</f>
      </c>
      <c r="K10" s="63">
        <f>IF($C10&lt;&gt;"",IF($E10&gt;1000000,IF(TABGEOL!$C$4="SI",IF(LEFT($C10,2)="S.",HLOOKUP($C10,TABGEOL!$G$2:$T$21,6,FALSE),HLOOKUP(LEFT($C10,2),TABGEOL!$G$2:$T$21,6,FALSE)),0)+IF(TABGEOL!$C$10="SI",IF(LEFT($C10,2)="S.",HLOOKUP($C10,TABGEOL!$G$2:$T$21,12,FALSE),HLOOKUP(LEFT($C10,2),TABGEOL!$G$2:$T$21,12,FALSE)),0)+IF(TABGEOL!$C$16="SI",IF(LEFT($C10,2)="S.",HLOOKUP($C10,TABGEOL!$G$2:$T$21,18,FALSE),HLOOKUP(LEFT($C10,2),TABGEOL!$G$2:$T$21,18,FALSE)),0),""),"")</f>
      </c>
      <c r="L10" s="63">
        <f>IF($C10&lt;&gt;"",IF($E10&gt;2500000,IF(TABGEOL!$C$4="SI",IF(LEFT($C10,2)="S.",HLOOKUP($C10,TABGEOL!$G$2:$T$21,7,FALSE),HLOOKUP(LEFT($C10,2),TABGEOL!$G$2:$T$21,7,FALSE)),0)+IF(TABGEOL!$C$10="SI",IF(LEFT($C10,2)="S.",HLOOKUP($C10,TABGEOL!$G$2:$T$21,13,FALSE),HLOOKUP(LEFT($C10,2),TABGEOL!$G$2:$T$21,13,FALSE)),0)+IF(TABGEOL!$C$16="SI",IF(LEFT($C10,2)="S.",HLOOKUP($C10,TABGEOL!$G$2:$T$21,19,FALSE),HLOOKUP(LEFT($C10,2),TABGEOL!$G$2:$T$21,19,FALSE)),0),""),"")</f>
      </c>
      <c r="M10" s="63">
        <f>IF($C10&lt;&gt;"",IF($E10&gt;10000000,IF(TABGEOL!$C$4="SI",IF(LEFT($C10,2)="S.",HLOOKUP($C10,TABGEOL!$G$2:$T$21,8,FALSE),HLOOKUP(LEFT($C10,2),TABGEOL!$G$2:$T$21,8,FALSE)),0)+IF(TABGEOL!$C$10="SI",IF(LEFT($C10,2)="S.",HLOOKUP($C10,TABGEOL!$G$2:$T$21,14,FALSE),HLOOKUP(LEFT($C10,2),TABGEOL!$G$2:$T$21,14,FALSE)),0)+IF(TABGEOL!$C$16="SI",IF(LEFT($C10,2)="S.",HLOOKUP($C10,TABGEOL!$G$2:$T$21,20,FALSE),HLOOKUP(LEFT($C10,2),TABGEOL!$G$2:$T$21,20,FALSE)),0),""),"")</f>
      </c>
      <c r="N10" s="63">
        <f>IF($C10&lt;&gt;"",IF(TABGEOL!$C$3="SI",IF(OR(LEFT($C10,2)="P.",LEFT($C10,2)="U."),HLOOKUP(LEFT($C10,2),TABGEOL!$G$2:$T$21,2,FALSE),0),0),"")</f>
        <v>0</v>
      </c>
      <c r="O10" s="64">
        <f>IF(E10&lt;&gt;0,_xlfn.IFERROR(IF(E10&lt;=250000,E10*F10*G10*(H10+N10),IF(AND(E10&gt;250000,E10&lt;=500000),250000*F10*G10*(H10+N10)+(E10-250000)*F10*G10*(I10+N10),IF(AND(E10&gt;500000,E10&lt;=1000000),250000*F10*G10*(H10+N10)+250000*F10*G10*(I10+N10)+(E10-500000)*F10*G10*(J10+N10),IF(AND(E10&gt;1000000,E10&lt;=2500000),250000*F10*G10*(H10+N10)+250000*F10*G10*(I10+N10)+500000*F10*G10*(J10+N10)+(E10-1000000)*F10*G10*(K10+N10),IF(AND(E10&gt;2500000,E10&lt;=10000000),250000*F10*G10*(H10+N10)+250000*F10*G10*(I10+N10)+500000*F10*G10*(J10+N10)+1500000*F10*G10*(K10+N10)+(E10-2500000)*F10*G10*(L10+N10),IF(E10&gt;10000000,250000*F10*G10*(H10+N10)+250000*F10*G10*(I10+N10)+500000*F10*G10*(J10+N10)+1500000*F10*G10*(K10+N10)+7500000*F10*G10*(L10+N10)+(E10-10000000)*F10*G10*(M10+N10),0)))))),””),"")</f>
        <v>0</v>
      </c>
      <c r="P10" s="64">
        <f t="shared" si="1"/>
        <v>0</v>
      </c>
      <c r="Q10" s="83">
        <f t="shared" si="2"/>
        <v>0</v>
      </c>
      <c r="R10" s="143" t="str">
        <f t="shared" si="3"/>
        <v>I/b</v>
      </c>
      <c r="AA10" s="28" t="s">
        <v>74</v>
      </c>
      <c r="AH10" s="63">
        <f>IF($C10&lt;&gt;"",IF(TABGEOL!$C$16="SI",IF(LEFT($C10,2)="S.",HLOOKUP($C10,TABGEOL!$G$2:$T$21,15,FALSE),HLOOKUP(LEFT($C10,2),TABGEOL!$G$2:$T$21,15,FALSE)),0),"")</f>
        <v>0</v>
      </c>
      <c r="AI10" s="63">
        <f>IF($C10&lt;&gt;"",IF($E10&gt;250000,IF(TABGEOL!$C$16="SI",IF(LEFT($C10,2)="S.",HLOOKUP($C10,TABGEOL!$G$2:$T$21,16,FALSE),HLOOKUP(LEFT($C10,2),TABGEOL!$G$2:$T$21,16,FALSE)),0),""),"")</f>
      </c>
      <c r="AJ10" s="63">
        <f>IF($C10&lt;&gt;"",IF($E10&gt;500000,IF(TABGEOL!$C$16="SI",IF(LEFT($C10,2)="S.",HLOOKUP($C10,TABGEOL!$G$2:$T$21,17,FALSE),HLOOKUP(LEFT($C10,2),TABGEOL!$G$2:$T$21,17,FALSE)),0),""),"")</f>
      </c>
      <c r="AK10" s="63">
        <f>IF($C10&lt;&gt;"",IF($E10&gt;1000000,IF(TABGEOL!$C$16="SI",IF(LEFT($C10,2)="S.",HLOOKUP($C10,TABGEOL!$G$2:$T$21,18,FALSE),HLOOKUP(LEFT($C10,2),TABGEOL!$G$2:$T$21,18,FALSE)),0),""),"")</f>
      </c>
      <c r="AL10" s="63">
        <f>IF($C10&lt;&gt;"",IF($E10&gt;2500000,IF(TABGEOL!$C$16="SI",IF(LEFT($C10,2)="S.",HLOOKUP($C10,TABGEOL!$G$2:$T$21,19,FALSE),HLOOKUP(LEFT($C10,2),TABGEOL!$G$2:$T$21,19,FALSE)),0),""),"")</f>
      </c>
      <c r="AM10" s="63">
        <f>IF($C10&lt;&gt;"",IF($E10&gt;10000000,IF(TABGEOL!$C$16="SI",IF(LEFT($C10,2)="S.",HLOOKUP($C10,TABGEOL!$G$2:$T$21,20,FALSE),HLOOKUP(LEFT($C10,2),TABGEOL!$G$2:$T$21,20,FALSE)),0),""),"")</f>
      </c>
      <c r="AN10" s="138" t="str">
        <f t="shared" si="4"/>
        <v>S.03</v>
      </c>
      <c r="AO10" s="64">
        <f>IF(E10&lt;&gt;0,_xlfn.IFERROR(IF(E10&lt;=250000,E10*F10*G10*AH10,IF(AND(E10&gt;250000,E10&lt;=500000),250000*F10*G10*AH10+(E10-250000)*F10*G10*AI10,IF(AND(E10&gt;500000,E10&lt;=1000000),250000*F10*G10*AH10+250000*F10*G10*AI10+(E10-500000)*F10*G10*AJ10,IF(AND(E10&gt;1000000,E10&lt;=2500000),250000*F10*G10*AH10+250000*F10*G10*AI10+500000*F10*G10*AJ10+(E10-1000000)*F10*G10*AK10,IF(AND(E10&gt;2500000,E10&lt;=10000000),250000*F10*G10*AH10+250000*F10*G10*AI10+500000*F10*G10*AJ10+1500000*F10*G10*AK10+(E10-2500000)*F10*G10*AL10,IF(E10&gt;10000000,250000*F10*G10*AH10+250000*F10*G10*AI10+500000*F10*G10*AJ10+1500000*F10*G10*AK10+7500000*F10*G10*AL10+(E10-10000000)*F10*G10*AM10,0)))))),””),"")</f>
        <v>0</v>
      </c>
      <c r="AP10" s="64">
        <f t="shared" si="5"/>
        <v>0</v>
      </c>
      <c r="AQ10" s="309">
        <f t="shared" si="6"/>
        <v>0</v>
      </c>
    </row>
    <row r="11" spans="2:43" ht="21.75" customHeight="1">
      <c r="B11" s="81">
        <f>IF(AND(C10&lt;&gt;"",C11&lt;&gt;""),B10+1,"")</f>
        <v>4</v>
      </c>
      <c r="C11" s="260" t="str">
        <f>IF('PARC INGG'!C12&lt;&gt;"",'PARC INGG'!C12,"")</f>
        <v>IA.03</v>
      </c>
      <c r="D11" s="61" t="str">
        <f>IF(C11&lt;&gt;"",VLOOKUP(C11,'Tab Z-1'!$C$3:$G$63,$C$1+3,FALSE),"")</f>
        <v>I/b</v>
      </c>
      <c r="E11" s="68">
        <f>IF(C11&lt;&gt;"",'PARC INGG'!E12,0)</f>
        <v>72497.81548485359</v>
      </c>
      <c r="F11" s="62">
        <f t="shared" si="0"/>
        <v>0.1437286887144964</v>
      </c>
      <c r="G11" s="61">
        <f>IF(C11&lt;&gt;"",VLOOKUP(C11,'Tab Z-1'!$C$3:$G$63,$C$1+5,FALSE),"")</f>
        <v>1.15</v>
      </c>
      <c r="H11" s="63">
        <f>IF($C11&lt;&gt;"",IF(TABGEOL!$C$4="SI",IF(LEFT($C11,2)="S.",HLOOKUP($C11,TABGEOL!$G$2:$T$21,3,FALSE),HLOOKUP(LEFT($C11,2),TABGEOL!$G$2:$T$21,3,FALSE)),0)+IF(TABGEOL!$C$10="SI",IF(LEFT($C11,2)="S.",HLOOKUP($C11,TABGEOL!$G$2:$T$21,9,FALSE),HLOOKUP(LEFT($C11,2),TABGEOL!$G$2:$T$21,9,FALSE)),0)+IF(TABGEOL!$C$16="SI",IF(LEFT($C11,2)="S.",HLOOKUP($C11,TABGEOL!$G$2:$T$21,15,FALSE),HLOOKUP(LEFT($C11,2),TABGEOL!$G$2:$T$21,15,FALSE)),0),"")</f>
        <v>0</v>
      </c>
      <c r="I11" s="63">
        <f>IF($C11&lt;&gt;"",IF($E11&gt;250000,IF(TABGEOL!$C$4="SI",IF(LEFT($C11,2)="S.",HLOOKUP($C11,TABGEOL!$G$2:$T$21,4,FALSE),HLOOKUP(LEFT($C11,2),TABGEOL!$G$2:$T$21,4,FALSE)),0)+IF(TABGEOL!$C$10="SI",IF(LEFT($C11,2)="S.",HLOOKUP($C11,TABGEOL!$G$2:$T$21,10,FALSE),HLOOKUP(LEFT($C11,2),TABGEOL!$G$2:$T$21,10,FALSE)),0)+IF(TABGEOL!$C$16="SI",IF(LEFT($C11,2)="S.",HLOOKUP($C11,TABGEOL!$G$2:$T$21,16,FALSE),HLOOKUP(LEFT($C11,2),TABGEOL!$G$2:$T$21,16,FALSE)),0),""),"")</f>
      </c>
      <c r="J11" s="63">
        <f>IF($C11&lt;&gt;"",IF($E11&gt;500000,IF(TABGEOL!$C$4="SI",IF(LEFT($C11,2)="S.",HLOOKUP($C11,TABGEOL!$G$2:$T$21,5,FALSE),HLOOKUP(LEFT($C11,2),TABGEOL!$G$2:$T$21,5,FALSE)),0)+IF(TABGEOL!$C$10="SI",IF(LEFT($C11,2)="S.",HLOOKUP($C11,TABGEOL!$G$2:$T$21,11,FALSE),HLOOKUP(LEFT($C11,2),TABGEOL!$G$2:$T$21,11,FALSE)),0)+IF(TABGEOL!$C$16="SI",IF(LEFT($C11,2)="S.",HLOOKUP($C11,TABGEOL!$G$2:$T$21,17,FALSE),HLOOKUP(LEFT($C11,2),TABGEOL!$G$2:$T$21,17,FALSE)),0),""),"")</f>
      </c>
      <c r="K11" s="63">
        <f>IF($C11&lt;&gt;"",IF($E11&gt;1000000,IF(TABGEOL!$C$4="SI",IF(LEFT($C11,2)="S.",HLOOKUP($C11,TABGEOL!$G$2:$T$21,6,FALSE),HLOOKUP(LEFT($C11,2),TABGEOL!$G$2:$T$21,6,FALSE)),0)+IF(TABGEOL!$C$10="SI",IF(LEFT($C11,2)="S.",HLOOKUP($C11,TABGEOL!$G$2:$T$21,12,FALSE),HLOOKUP(LEFT($C11,2),TABGEOL!$G$2:$T$21,12,FALSE)),0)+IF(TABGEOL!$C$16="SI",IF(LEFT($C11,2)="S.",HLOOKUP($C11,TABGEOL!$G$2:$T$21,18,FALSE),HLOOKUP(LEFT($C11,2),TABGEOL!$G$2:$T$21,18,FALSE)),0),""),"")</f>
      </c>
      <c r="L11" s="63">
        <f>IF($C11&lt;&gt;"",IF($E11&gt;2500000,IF(TABGEOL!$C$4="SI",IF(LEFT($C11,2)="S.",HLOOKUP($C11,TABGEOL!$G$2:$T$21,7,FALSE),HLOOKUP(LEFT($C11,2),TABGEOL!$G$2:$T$21,7,FALSE)),0)+IF(TABGEOL!$C$10="SI",IF(LEFT($C11,2)="S.",HLOOKUP($C11,TABGEOL!$G$2:$T$21,13,FALSE),HLOOKUP(LEFT($C11,2),TABGEOL!$G$2:$T$21,13,FALSE)),0)+IF(TABGEOL!$C$16="SI",IF(LEFT($C11,2)="S.",HLOOKUP($C11,TABGEOL!$G$2:$T$21,19,FALSE),HLOOKUP(LEFT($C11,2),TABGEOL!$G$2:$T$21,19,FALSE)),0),""),"")</f>
      </c>
      <c r="M11" s="63">
        <f>IF($C11&lt;&gt;"",IF($E11&gt;10000000,IF(TABGEOL!$C$4="SI",IF(LEFT($C11,2)="S.",HLOOKUP($C11,TABGEOL!$G$2:$T$21,8,FALSE),HLOOKUP(LEFT($C11,2),TABGEOL!$G$2:$T$21,8,FALSE)),0)+IF(TABGEOL!$C$10="SI",IF(LEFT($C11,2)="S.",HLOOKUP($C11,TABGEOL!$G$2:$T$21,14,FALSE),HLOOKUP(LEFT($C11,2),TABGEOL!$G$2:$T$21,14,FALSE)),0)+IF(TABGEOL!$C$16="SI",IF(LEFT($C11,2)="S.",HLOOKUP($C11,TABGEOL!$G$2:$T$21,20,FALSE),HLOOKUP(LEFT($C11,2),TABGEOL!$G$2:$T$21,20,FALSE)),0),""),"")</f>
      </c>
      <c r="N11" s="63">
        <f>IF($C11&lt;&gt;"",IF(TABGEOL!$C$3="SI",IF(OR(LEFT($C11,2)="P.",LEFT($C11,2)="U."),HLOOKUP(LEFT($C11,2),TABGEOL!$G$2:$T$21,2,FALSE),0),0),"")</f>
        <v>0</v>
      </c>
      <c r="O11" s="64">
        <f>IF(E11&lt;&gt;0,_xlfn.IFERROR(IF(E11&lt;=250000,E11*F11*G11*(H11+N11),IF(AND(E11&gt;250000,E11&lt;=500000),250000*F11*G11*(H11+N11)+(E11-250000)*F11*G11*(I11+N11),IF(AND(E11&gt;500000,E11&lt;=1000000),250000*F11*G11*(H11+N11)+250000*F11*G11*(I11+N11)+(E11-500000)*F11*G11*(J11+N11),IF(AND(E11&gt;1000000,E11&lt;=2500000),250000*F11*G11*(H11+N11)+250000*F11*G11*(I11+N11)+500000*F11*G11*(J11+N11)+(E11-1000000)*F11*G11*(K11+N11),IF(AND(E11&gt;2500000,E11&lt;=10000000),250000*F11*G11*(H11+N11)+250000*F11*G11*(I11+N11)+500000*F11*G11*(J11+N11)+1500000*F11*G11*(K11+N11)+(E11-2500000)*F11*G11*(L11+N11),IF(E11&gt;10000000,250000*F11*G11*(H11+N11)+250000*F11*G11*(I11+N11)+500000*F11*G11*(J11+N11)+1500000*F11*G11*(K11+N11)+7500000*F11*G11*(L11+N11)+(E11-10000000)*F11*G11*(M11+N11),0)))))),””),"")</f>
        <v>0</v>
      </c>
      <c r="P11" s="64">
        <f t="shared" si="1"/>
        <v>0</v>
      </c>
      <c r="Q11" s="83">
        <f t="shared" si="2"/>
        <v>0</v>
      </c>
      <c r="R11" s="143" t="str">
        <f t="shared" si="3"/>
        <v>I/b</v>
      </c>
      <c r="AA11" s="28" t="s">
        <v>75</v>
      </c>
      <c r="AH11" s="63">
        <f>IF($C11&lt;&gt;"",IF(TABGEOL!$C$16="SI",IF(LEFT($C11,2)="S.",HLOOKUP($C11,TABGEOL!$G$2:$T$21,15,FALSE),HLOOKUP(LEFT($C11,2),TABGEOL!$G$2:$T$21,15,FALSE)),0),"")</f>
        <v>0</v>
      </c>
      <c r="AI11" s="63">
        <f>IF($C11&lt;&gt;"",IF($E11&gt;250000,IF(TABGEOL!$C$16="SI",IF(LEFT($C11,2)="S.",HLOOKUP($C11,TABGEOL!$G$2:$T$21,16,FALSE),HLOOKUP(LEFT($C11,2),TABGEOL!$G$2:$T$21,16,FALSE)),0),""),"")</f>
      </c>
      <c r="AJ11" s="63">
        <f>IF($C11&lt;&gt;"",IF($E11&gt;500000,IF(TABGEOL!$C$16="SI",IF(LEFT($C11,2)="S.",HLOOKUP($C11,TABGEOL!$G$2:$T$21,17,FALSE),HLOOKUP(LEFT($C11,2),TABGEOL!$G$2:$T$21,17,FALSE)),0),""),"")</f>
      </c>
      <c r="AK11" s="63">
        <f>IF($C11&lt;&gt;"",IF($E11&gt;1000000,IF(TABGEOL!$C$16="SI",IF(LEFT($C11,2)="S.",HLOOKUP($C11,TABGEOL!$G$2:$T$21,18,FALSE),HLOOKUP(LEFT($C11,2),TABGEOL!$G$2:$T$21,18,FALSE)),0),""),"")</f>
      </c>
      <c r="AL11" s="63">
        <f>IF($C11&lt;&gt;"",IF($E11&gt;2500000,IF(TABGEOL!$C$16="SI",IF(LEFT($C11,2)="S.",HLOOKUP($C11,TABGEOL!$G$2:$T$21,19,FALSE),HLOOKUP(LEFT($C11,2),TABGEOL!$G$2:$T$21,19,FALSE)),0),""),"")</f>
      </c>
      <c r="AM11" s="63">
        <f>IF($C11&lt;&gt;"",IF($E11&gt;10000000,IF(TABGEOL!$C$16="SI",IF(LEFT($C11,2)="S.",HLOOKUP($C11,TABGEOL!$G$2:$T$21,20,FALSE),HLOOKUP(LEFT($C11,2),TABGEOL!$G$2:$T$21,20,FALSE)),0),""),"")</f>
      </c>
      <c r="AN11" s="138" t="str">
        <f t="shared" si="4"/>
        <v>IA.03</v>
      </c>
      <c r="AO11" s="64">
        <f>IF(E11&lt;&gt;0,_xlfn.IFERROR(IF(E11&lt;=250000,E11*F11*G11*AH11,IF(AND(E11&gt;250000,E11&lt;=500000),250000*F11*G11*AH11+(E11-250000)*F11*G11*AI11,IF(AND(E11&gt;500000,E11&lt;=1000000),250000*F11*G11*AH11+250000*F11*G11*AI11+(E11-500000)*F11*G11*AJ11,IF(AND(E11&gt;1000000,E11&lt;=2500000),250000*F11*G11*AH11+250000*F11*G11*AI11+500000*F11*G11*AJ11+(E11-1000000)*F11*G11*AK11,IF(AND(E11&gt;2500000,E11&lt;=10000000),250000*F11*G11*AH11+250000*F11*G11*AI11+500000*F11*G11*AJ11+1500000*F11*G11*AK11+(E11-2500000)*F11*G11*AL11,IF(E11&gt;10000000,250000*F11*G11*AH11+250000*F11*G11*AI11+500000*F11*G11*AJ11+1500000*F11*G11*AK11+7500000*F11*G11*AL11+(E11-10000000)*F11*G11*AM11,0)))))),””),"")</f>
        <v>0</v>
      </c>
      <c r="AP11" s="64">
        <f t="shared" si="5"/>
        <v>0</v>
      </c>
      <c r="AQ11" s="309">
        <f t="shared" si="6"/>
        <v>0</v>
      </c>
    </row>
    <row r="12" spans="2:43" ht="21.75" customHeight="1">
      <c r="B12" s="81">
        <f>IF(AND(C11&lt;&gt;"",C12&lt;&gt;""),B11+1,"")</f>
        <v>5</v>
      </c>
      <c r="C12" s="280" t="str">
        <f>IF('PARC INGG'!C13&lt;&gt;"",'PARC INGG'!C13,"")</f>
        <v>IA.01</v>
      </c>
      <c r="D12" s="61" t="str">
        <f>IF(C12&lt;&gt;"",VLOOKUP(C12,'Tab Z-1'!$C$3:$G$63,$C$1+3,FALSE),"")</f>
        <v>I/b</v>
      </c>
      <c r="E12" s="68">
        <f>IF(C12&lt;&gt;"",'PARC INGG'!E13,0)</f>
        <v>5957.258397835961</v>
      </c>
      <c r="F12" s="62">
        <f t="shared" si="0"/>
        <v>0.3390163259929626</v>
      </c>
      <c r="G12" s="61">
        <f>IF(C12&lt;&gt;"",VLOOKUP(C12,'Tab Z-1'!$C$3:$G$63,$C$1+5,FALSE),"")</f>
        <v>0.75</v>
      </c>
      <c r="H12" s="63">
        <f>IF($C12&lt;&gt;"",IF(TABGEOL!$C$4="SI",IF(LEFT($C12,2)="S.",HLOOKUP($C12,TABGEOL!$G$2:$T$21,3,FALSE),HLOOKUP(LEFT($C12,2),TABGEOL!$G$2:$T$21,3,FALSE)),0)+IF(TABGEOL!$C$10="SI",IF(LEFT($C12,2)="S.",HLOOKUP($C12,TABGEOL!$G$2:$T$21,9,FALSE),HLOOKUP(LEFT($C12,2),TABGEOL!$G$2:$T$21,9,FALSE)),0)+IF(TABGEOL!$C$16="SI",IF(LEFT($C12,2)="S.",HLOOKUP($C12,TABGEOL!$G$2:$T$21,15,FALSE),HLOOKUP(LEFT($C12,2),TABGEOL!$G$2:$T$21,15,FALSE)),0),"")</f>
        <v>0</v>
      </c>
      <c r="I12" s="63">
        <f>IF($C12&lt;&gt;"",IF($E12&gt;250000,IF(TABGEOL!$C$4="SI",IF(LEFT($C12,2)="S.",HLOOKUP($C12,TABGEOL!$G$2:$T$21,4,FALSE),HLOOKUP(LEFT($C12,2),TABGEOL!$G$2:$T$21,4,FALSE)),0)+IF(TABGEOL!$C$10="SI",IF(LEFT($C12,2)="S.",HLOOKUP($C12,TABGEOL!$G$2:$T$21,10,FALSE),HLOOKUP(LEFT($C12,2),TABGEOL!$G$2:$T$21,10,FALSE)),0)+IF(TABGEOL!$C$16="SI",IF(LEFT($C12,2)="S.",HLOOKUP($C12,TABGEOL!$G$2:$T$21,16,FALSE),HLOOKUP(LEFT($C12,2),TABGEOL!$G$2:$T$21,16,FALSE)),0),""),"")</f>
      </c>
      <c r="J12" s="63">
        <f>IF($C12&lt;&gt;"",IF($E12&gt;500000,IF(TABGEOL!$C$4="SI",IF(LEFT($C12,2)="S.",HLOOKUP($C12,TABGEOL!$G$2:$T$21,5,FALSE),HLOOKUP(LEFT($C12,2),TABGEOL!$G$2:$T$21,5,FALSE)),0)+IF(TABGEOL!$C$10="SI",IF(LEFT($C12,2)="S.",HLOOKUP($C12,TABGEOL!$G$2:$T$21,11,FALSE),HLOOKUP(LEFT($C12,2),TABGEOL!$G$2:$T$21,11,FALSE)),0)+IF(TABGEOL!$C$16="SI",IF(LEFT($C12,2)="S.",HLOOKUP($C12,TABGEOL!$G$2:$T$21,17,FALSE),HLOOKUP(LEFT($C12,2),TABGEOL!$G$2:$T$21,17,FALSE)),0),""),"")</f>
      </c>
      <c r="K12" s="63">
        <f>IF($C12&lt;&gt;"",IF($E12&gt;1000000,IF(TABGEOL!$C$4="SI",IF(LEFT($C12,2)="S.",HLOOKUP($C12,TABGEOL!$G$2:$T$21,6,FALSE),HLOOKUP(LEFT($C12,2),TABGEOL!$G$2:$T$21,6,FALSE)),0)+IF(TABGEOL!$C$10="SI",IF(LEFT($C12,2)="S.",HLOOKUP($C12,TABGEOL!$G$2:$T$21,12,FALSE),HLOOKUP(LEFT($C12,2),TABGEOL!$G$2:$T$21,12,FALSE)),0)+IF(TABGEOL!$C$16="SI",IF(LEFT($C12,2)="S.",HLOOKUP($C12,TABGEOL!$G$2:$T$21,18,FALSE),HLOOKUP(LEFT($C12,2),TABGEOL!$G$2:$T$21,18,FALSE)),0),""),"")</f>
      </c>
      <c r="L12" s="63">
        <f>IF($C12&lt;&gt;"",IF($E12&gt;2500000,IF(TABGEOL!$C$4="SI",IF(LEFT($C12,2)="S.",HLOOKUP($C12,TABGEOL!$G$2:$T$21,7,FALSE),HLOOKUP(LEFT($C12,2),TABGEOL!$G$2:$T$21,7,FALSE)),0)+IF(TABGEOL!$C$10="SI",IF(LEFT($C12,2)="S.",HLOOKUP($C12,TABGEOL!$G$2:$T$21,13,FALSE),HLOOKUP(LEFT($C12,2),TABGEOL!$G$2:$T$21,13,FALSE)),0)+IF(TABGEOL!$C$16="SI",IF(LEFT($C12,2)="S.",HLOOKUP($C12,TABGEOL!$G$2:$T$21,19,FALSE),HLOOKUP(LEFT($C12,2),TABGEOL!$G$2:$T$21,19,FALSE)),0),""),"")</f>
      </c>
      <c r="M12" s="63">
        <f>IF($C12&lt;&gt;"",IF($E12&gt;10000000,IF(TABGEOL!$C$4="SI",IF(LEFT($C12,2)="S.",HLOOKUP($C12,TABGEOL!$G$2:$T$21,8,FALSE),HLOOKUP(LEFT($C12,2),TABGEOL!$G$2:$T$21,8,FALSE)),0)+IF(TABGEOL!$C$10="SI",IF(LEFT($C12,2)="S.",HLOOKUP($C12,TABGEOL!$G$2:$T$21,14,FALSE),HLOOKUP(LEFT($C12,2),TABGEOL!$G$2:$T$21,14,FALSE)),0)+IF(TABGEOL!$C$16="SI",IF(LEFT($C12,2)="S.",HLOOKUP($C12,TABGEOL!$G$2:$T$21,20,FALSE),HLOOKUP(LEFT($C12,2),TABGEOL!$G$2:$T$21,20,FALSE)),0),""),"")</f>
      </c>
      <c r="N12" s="63">
        <f>IF($C12&lt;&gt;"",IF(TABGEOL!$C$3="SI",IF(OR(LEFT($C12,2)="P.",LEFT($C12,2)="U."),HLOOKUP(LEFT($C12,2),TABGEOL!$G$2:$T$21,2,FALSE),0),0),"")</f>
        <v>0</v>
      </c>
      <c r="O12" s="64">
        <f>IF(E12&lt;&gt;0,_xlfn.IFERROR(IF(E12&lt;=250000,E12*F12*G12*(H12+N12),IF(AND(E12&gt;250000,E12&lt;=500000),250000*F12*G12*(H12+N12)+(E12-250000)*F12*G12*(I12+N12),IF(AND(E12&gt;500000,E12&lt;=1000000),250000*F12*G12*(H12+N12)+250000*F12*G12*(I12+N12)+(E12-500000)*F12*G12*(J12+N12),IF(AND(E12&gt;1000000,E12&lt;=2500000),250000*F12*G12*(H12+N12)+250000*F12*G12*(I12+N12)+500000*F12*G12*(J12+N12)+(E12-1000000)*F12*G12*(K12+N12),IF(AND(E12&gt;2500000,E12&lt;=10000000),250000*F12*G12*(H12+N12)+250000*F12*G12*(I12+N12)+500000*F12*G12*(J12+N12)+1500000*F12*G12*(K12+N12)+(E12-2500000)*F12*G12*(L12+N12),IF(E12&gt;10000000,250000*F12*G12*(H12+N12)+250000*F12*G12*(I12+N12)+500000*F12*G12*(J12+N12)+1500000*F12*G12*(K12+N12)+7500000*F12*G12*(L12+N12)+(E12-10000000)*F12*G12*(M12+N12),0)))))),””),"")</f>
        <v>0</v>
      </c>
      <c r="P12" s="64">
        <f t="shared" si="1"/>
        <v>0</v>
      </c>
      <c r="Q12" s="83">
        <f t="shared" si="2"/>
        <v>0</v>
      </c>
      <c r="R12" s="143" t="str">
        <f t="shared" si="3"/>
        <v>I/b</v>
      </c>
      <c r="AA12" s="28" t="s">
        <v>76</v>
      </c>
      <c r="AH12" s="63">
        <f>IF($C12&lt;&gt;"",IF(TABGEOL!$C$16="SI",IF(LEFT($C12,2)="S.",HLOOKUP($C12,TABGEOL!$G$2:$T$21,15,FALSE),HLOOKUP(LEFT($C12,2),TABGEOL!$G$2:$T$21,15,FALSE)),0),"")</f>
        <v>0</v>
      </c>
      <c r="AI12" s="63">
        <f>IF($C12&lt;&gt;"",IF($E12&gt;250000,IF(TABGEOL!$C$16="SI",IF(LEFT($C12,2)="S.",HLOOKUP($C12,TABGEOL!$G$2:$T$21,16,FALSE),HLOOKUP(LEFT($C12,2),TABGEOL!$G$2:$T$21,16,FALSE)),0),""),"")</f>
      </c>
      <c r="AJ12" s="63">
        <f>IF($C12&lt;&gt;"",IF($E12&gt;500000,IF(TABGEOL!$C$16="SI",IF(LEFT($C12,2)="S.",HLOOKUP($C12,TABGEOL!$G$2:$T$21,17,FALSE),HLOOKUP(LEFT($C12,2),TABGEOL!$G$2:$T$21,17,FALSE)),0),""),"")</f>
      </c>
      <c r="AK12" s="63">
        <f>IF($C12&lt;&gt;"",IF($E12&gt;1000000,IF(TABGEOL!$C$16="SI",IF(LEFT($C12,2)="S.",HLOOKUP($C12,TABGEOL!$G$2:$T$21,18,FALSE),HLOOKUP(LEFT($C12,2),TABGEOL!$G$2:$T$21,18,FALSE)),0),""),"")</f>
      </c>
      <c r="AL12" s="63">
        <f>IF($C12&lt;&gt;"",IF($E12&gt;2500000,IF(TABGEOL!$C$16="SI",IF(LEFT($C12,2)="S.",HLOOKUP($C12,TABGEOL!$G$2:$T$21,19,FALSE),HLOOKUP(LEFT($C12,2),TABGEOL!$G$2:$T$21,19,FALSE)),0),""),"")</f>
      </c>
      <c r="AM12" s="63">
        <f>IF($C12&lt;&gt;"",IF($E12&gt;10000000,IF(TABGEOL!$C$16="SI",IF(LEFT($C12,2)="S.",HLOOKUP($C12,TABGEOL!$G$2:$T$21,20,FALSE),HLOOKUP(LEFT($C12,2),TABGEOL!$G$2:$T$21,20,FALSE)),0),""),"")</f>
      </c>
      <c r="AN12" s="138" t="str">
        <f t="shared" si="4"/>
        <v>IA.01</v>
      </c>
      <c r="AO12" s="64">
        <f>IF(E12&lt;&gt;0,_xlfn.IFERROR(IF(E12&lt;=250000,E12*F12*G12*AH12,IF(AND(E12&gt;250000,E12&lt;=500000),250000*F12*G12*AH12+(E12-250000)*F12*G12*AI12,IF(AND(E12&gt;500000,E12&lt;=1000000),250000*F12*G12*AH12+250000*F12*G12*AI12+(E12-500000)*F12*G12*AJ12,IF(AND(E12&gt;1000000,E12&lt;=2500000),250000*F12*G12*AH12+250000*F12*G12*AI12+500000*F12*G12*AJ12+(E12-1000000)*F12*G12*AK12,IF(AND(E12&gt;2500000,E12&lt;=10000000),250000*F12*G12*AH12+250000*F12*G12*AI12+500000*F12*G12*AJ12+1500000*F12*G12*AK12+(E12-2500000)*F12*G12*AL12,IF(E12&gt;10000000,250000*F12*G12*AH12+250000*F12*G12*AI12+500000*F12*G12*AJ12+1500000*F12*G12*AK12+7500000*F12*G12*AL12+(E12-10000000)*F12*G12*AM12,0)))))),””),"")</f>
        <v>0</v>
      </c>
      <c r="AP12" s="64">
        <f t="shared" si="5"/>
        <v>0</v>
      </c>
      <c r="AQ12" s="309">
        <f t="shared" si="6"/>
        <v>0</v>
      </c>
    </row>
    <row r="13" spans="2:43" ht="21.75" customHeight="1">
      <c r="B13" s="81">
        <f>IF(AND(C12&lt;&gt;"",C13&lt;&gt;""),B12+1,"")</f>
      </c>
      <c r="C13" s="260">
        <f>IF('PARC INGG'!C14&lt;&gt;"",'PARC INGG'!C14,"")</f>
      </c>
      <c r="D13" s="61">
        <f>IF(C13&lt;&gt;"",VLOOKUP(C13,'Tab Z-1'!$C$3:$G$63,$C$1+3,FALSE),"")</f>
      </c>
      <c r="E13" s="68">
        <f>IF(C13&lt;&gt;"",'PARC INGG'!E14,0)</f>
        <v>0</v>
      </c>
      <c r="F13" s="62">
        <f t="shared" si="0"/>
      </c>
      <c r="G13" s="61">
        <f>IF(C13&lt;&gt;"",VLOOKUP(C13,'Tab Z-1'!$C$3:$G$63,$C$1+5,FALSE),"")</f>
      </c>
      <c r="H13" s="63">
        <f>IF($C13&lt;&gt;"",IF(TABGEOL!$C$4="SI",IF(LEFT($C13,2)="S.",HLOOKUP($C13,TABGEOL!$G$2:$T$21,3,FALSE),HLOOKUP(LEFT($C13,2),TABGEOL!$G$2:$T$21,3,FALSE)),0)+IF(TABGEOL!$C$10="SI",IF(LEFT($C13,2)="S.",HLOOKUP($C13,TABGEOL!$G$2:$T$21,9,FALSE),HLOOKUP(LEFT($C13,2),TABGEOL!$G$2:$T$21,9,FALSE)),0)+IF(TABGEOL!$C$16="SI",IF(LEFT($C13,2)="S.",HLOOKUP($C13,TABGEOL!$G$2:$T$21,15,FALSE),HLOOKUP(LEFT($C13,2),TABGEOL!$G$2:$T$21,15,FALSE)),0),"")</f>
      </c>
      <c r="I13" s="63">
        <f>IF($C13&lt;&gt;"",IF($E13&gt;250000,IF(TABGEOL!$C$4="SI",IF(LEFT($C13,2)="S.",HLOOKUP($C13,TABGEOL!$G$2:$T$21,4,FALSE),HLOOKUP(LEFT($C13,2),TABGEOL!$G$2:$T$21,4,FALSE)),0)+IF(TABGEOL!$C$10="SI",IF(LEFT($C13,2)="S.",HLOOKUP($C13,TABGEOL!$G$2:$T$21,10,FALSE),HLOOKUP(LEFT($C13,2),TABGEOL!$G$2:$T$21,10,FALSE)),0)+IF(TABGEOL!$C$16="SI",IF(LEFT($C13,2)="S.",HLOOKUP($C13,TABGEOL!$G$2:$T$21,16,FALSE),HLOOKUP(LEFT($C13,2),TABGEOL!$G$2:$T$21,16,FALSE)),0),""),"")</f>
      </c>
      <c r="J13" s="63">
        <f>IF($C13&lt;&gt;"",IF($E13&gt;500000,IF(TABGEOL!$C$4="SI",IF(LEFT($C13,2)="S.",HLOOKUP($C13,TABGEOL!$G$2:$T$21,5,FALSE),HLOOKUP(LEFT($C13,2),TABGEOL!$G$2:$T$21,5,FALSE)),0)+IF(TABGEOL!$C$10="SI",IF(LEFT($C13,2)="S.",HLOOKUP($C13,TABGEOL!$G$2:$T$21,11,FALSE),HLOOKUP(LEFT($C13,2),TABGEOL!$G$2:$T$21,11,FALSE)),0)+IF(TABGEOL!$C$16="SI",IF(LEFT($C13,2)="S.",HLOOKUP($C13,TABGEOL!$G$2:$T$21,17,FALSE),HLOOKUP(LEFT($C13,2),TABGEOL!$G$2:$T$21,17,FALSE)),0),""),"")</f>
      </c>
      <c r="K13" s="63">
        <f>IF($C13&lt;&gt;"",IF($E13&gt;1000000,IF(TABGEOL!$C$4="SI",IF(LEFT($C13,2)="S.",HLOOKUP($C13,TABGEOL!$G$2:$T$21,6,FALSE),HLOOKUP(LEFT($C13,2),TABGEOL!$G$2:$T$21,6,FALSE)),0)+IF(TABGEOL!$C$10="SI",IF(LEFT($C13,2)="S.",HLOOKUP($C13,TABGEOL!$G$2:$T$21,12,FALSE),HLOOKUP(LEFT($C13,2),TABGEOL!$G$2:$T$21,12,FALSE)),0)+IF(TABGEOL!$C$16="SI",IF(LEFT($C13,2)="S.",HLOOKUP($C13,TABGEOL!$G$2:$T$21,18,FALSE),HLOOKUP(LEFT($C13,2),TABGEOL!$G$2:$T$21,18,FALSE)),0),""),"")</f>
      </c>
      <c r="L13" s="63">
        <f>IF($C13&lt;&gt;"",IF($E13&gt;2500000,IF(TABGEOL!$C$4="SI",IF(LEFT($C13,2)="S.",HLOOKUP($C13,TABGEOL!$G$2:$T$21,7,FALSE),HLOOKUP(LEFT($C13,2),TABGEOL!$G$2:$T$21,7,FALSE)),0)+IF(TABGEOL!$C$10="SI",IF(LEFT($C13,2)="S.",HLOOKUP($C13,TABGEOL!$G$2:$T$21,13,FALSE),HLOOKUP(LEFT($C13,2),TABGEOL!$G$2:$T$21,13,FALSE)),0)+IF(TABGEOL!$C$16="SI",IF(LEFT($C13,2)="S.",HLOOKUP($C13,TABGEOL!$G$2:$T$21,19,FALSE),HLOOKUP(LEFT($C13,2),TABGEOL!$G$2:$T$21,19,FALSE)),0),""),"")</f>
      </c>
      <c r="M13" s="63">
        <f>IF($C13&lt;&gt;"",IF($E13&gt;10000000,IF(TABGEOL!$C$4="SI",IF(LEFT($C13,2)="S.",HLOOKUP($C13,TABGEOL!$G$2:$T$21,8,FALSE),HLOOKUP(LEFT($C13,2),TABGEOL!$G$2:$T$21,8,FALSE)),0)+IF(TABGEOL!$C$10="SI",IF(LEFT($C13,2)="S.",HLOOKUP($C13,TABGEOL!$G$2:$T$21,14,FALSE),HLOOKUP(LEFT($C13,2),TABGEOL!$G$2:$T$21,14,FALSE)),0)+IF(TABGEOL!$C$16="SI",IF(LEFT($C13,2)="S.",HLOOKUP($C13,TABGEOL!$G$2:$T$21,20,FALSE),HLOOKUP(LEFT($C13,2),TABGEOL!$G$2:$T$21,20,FALSE)),0),""),"")</f>
      </c>
      <c r="N13" s="63">
        <f>IF($C13&lt;&gt;"",IF(TABGEOL!$C$3="SI",IF(OR(LEFT($C13,2)="P.",LEFT($C13,2)="U."),HLOOKUP(LEFT($C13,2),TABGEOL!$G$2:$T$21,2,FALSE),0),0),"")</f>
      </c>
      <c r="O13" s="64">
        <f>IF(E13&lt;&gt;0,_xlfn.IFERROR(IF(E13&lt;=250000,E13*F13*G13*(H13+N13),IF(AND(E13&gt;250000,E13&lt;=500000),250000*F13*G13*(H13+N13)+(E13-250000)*F13*G13*(I13+N13),IF(AND(E13&gt;500000,E13&lt;=1000000),250000*F13*G13*(H13+N13)+250000*F13*G13*(I13+N13)+(E13-500000)*F13*G13*(J13+N13),IF(AND(E13&gt;1000000,E13&lt;=2500000),250000*F13*G13*(H13+N13)+250000*F13*G13*(I13+N13)+500000*F13*G13*(J13+N13)+(E13-1000000)*F13*G13*(K13+N13),IF(AND(E13&gt;2500000,E13&lt;=10000000),250000*F13*G13*(H13+N13)+250000*F13*G13*(I13+N13)+500000*F13*G13*(J13+N13)+1500000*F13*G13*(K13+N13)+(E13-2500000)*F13*G13*(L13+N13),IF(E13&gt;10000000,250000*F13*G13*(H13+N13)+250000*F13*G13*(I13+N13)+500000*F13*G13*(J13+N13)+1500000*F13*G13*(K13+N13)+7500000*F13*G13*(L13+N13)+(E13-10000000)*F13*G13*(M13+N13),0)))))),””),"")</f>
      </c>
      <c r="P13" s="64">
        <f t="shared" si="1"/>
      </c>
      <c r="Q13" s="83">
        <f t="shared" si="2"/>
      </c>
      <c r="R13" s="143">
        <f t="shared" si="3"/>
      </c>
      <c r="AA13" s="28" t="s">
        <v>77</v>
      </c>
      <c r="AH13" s="63">
        <f>IF($C13&lt;&gt;"",IF(TABGEOL!$C$16="SI",IF(LEFT($C13,2)="S.",HLOOKUP($C13,TABGEOL!$G$2:$T$21,15,FALSE),HLOOKUP(LEFT($C13,2),TABGEOL!$G$2:$T$21,15,FALSE)),0),"")</f>
      </c>
      <c r="AI13" s="63">
        <f>IF($C13&lt;&gt;"",IF($E13&gt;250000,IF(TABGEOL!$C$16="SI",IF(LEFT($C13,2)="S.",HLOOKUP($C13,TABGEOL!$G$2:$T$21,16,FALSE),HLOOKUP(LEFT($C13,2),TABGEOL!$G$2:$T$21,16,FALSE)),0),""),"")</f>
      </c>
      <c r="AJ13" s="63">
        <f>IF($C13&lt;&gt;"",IF($E13&gt;500000,IF(TABGEOL!$C$16="SI",IF(LEFT($C13,2)="S.",HLOOKUP($C13,TABGEOL!$G$2:$T$21,17,FALSE),HLOOKUP(LEFT($C13,2),TABGEOL!$G$2:$T$21,17,FALSE)),0),""),"")</f>
      </c>
      <c r="AK13" s="63">
        <f>IF($C13&lt;&gt;"",IF($E13&gt;1000000,IF(TABGEOL!$C$16="SI",IF(LEFT($C13,2)="S.",HLOOKUP($C13,TABGEOL!$G$2:$T$21,18,FALSE),HLOOKUP(LEFT($C13,2),TABGEOL!$G$2:$T$21,18,FALSE)),0),""),"")</f>
      </c>
      <c r="AL13" s="63">
        <f>IF($C13&lt;&gt;"",IF($E13&gt;2500000,IF(TABGEOL!$C$16="SI",IF(LEFT($C13,2)="S.",HLOOKUP($C13,TABGEOL!$G$2:$T$21,19,FALSE),HLOOKUP(LEFT($C13,2),TABGEOL!$G$2:$T$21,19,FALSE)),0),""),"")</f>
      </c>
      <c r="AM13" s="63">
        <f>IF($C13&lt;&gt;"",IF($E13&gt;10000000,IF(TABGEOL!$C$16="SI",IF(LEFT($C13,2)="S.",HLOOKUP($C13,TABGEOL!$G$2:$T$21,20,FALSE),HLOOKUP(LEFT($C13,2),TABGEOL!$G$2:$T$21,20,FALSE)),0),""),"")</f>
      </c>
      <c r="AN13" s="138">
        <f t="shared" si="4"/>
      </c>
      <c r="AO13" s="64">
        <f>IF(E13&lt;&gt;0,_xlfn.IFERROR(IF(E13&lt;=250000,E13*F13*G13*AH13,IF(AND(E13&gt;250000,E13&lt;=500000),250000*F13*G13*AH13+(E13-250000)*F13*G13*AI13,IF(AND(E13&gt;500000,E13&lt;=1000000),250000*F13*G13*AH13+250000*F13*G13*AI13+(E13-500000)*F13*G13*AJ13,IF(AND(E13&gt;1000000,E13&lt;=2500000),250000*F13*G13*AH13+250000*F13*G13*AI13+500000*F13*G13*AJ13+(E13-1000000)*F13*G13*AK13,IF(AND(E13&gt;2500000,E13&lt;=10000000),250000*F13*G13*AH13+250000*F13*G13*AI13+500000*F13*G13*AJ13+1500000*F13*G13*AK13+(E13-2500000)*F13*G13*AL13,IF(E13&gt;10000000,250000*F13*G13*AH13+250000*F13*G13*AI13+500000*F13*G13*AJ13+1500000*F13*G13*AK13+7500000*F13*G13*AL13+(E13-10000000)*F13*G13*AM13,0)))))),””),"")</f>
      </c>
      <c r="AP13" s="64">
        <f t="shared" si="5"/>
      </c>
      <c r="AQ13" s="309">
        <f t="shared" si="6"/>
      </c>
    </row>
    <row r="14" spans="2:43" ht="30.75" customHeight="1" thickBot="1">
      <c r="B14" s="443" t="s">
        <v>502</v>
      </c>
      <c r="C14" s="444"/>
      <c r="D14" s="444"/>
      <c r="E14" s="84">
        <f>SUM(E8:E13)</f>
        <v>489425.31</v>
      </c>
      <c r="F14" s="136" t="s">
        <v>491</v>
      </c>
      <c r="G14" s="276">
        <f>IF(C8&lt;&gt;"",IF(E14&lt;=1000000,0.25,IF(E14&gt;=25000000,0.1,0.1+(25000000-E14)*0.15/24000000)),"")</f>
        <v>0.25</v>
      </c>
      <c r="H14" s="606" t="str">
        <f>IF(C8&lt;&gt;"",IF(AND(G14&gt;0.1,G14&lt;0.25),"Per interpolazione lineare art.5  D.M. 17/06/2016","art.5  D.M. 17/06/2016"),"")</f>
        <v>art.5  D.M. 17/06/2016</v>
      </c>
      <c r="I14" s="606"/>
      <c r="J14" s="606"/>
      <c r="K14" s="606"/>
      <c r="L14" s="606"/>
      <c r="M14" s="444" t="s">
        <v>530</v>
      </c>
      <c r="N14" s="444"/>
      <c r="O14" s="444"/>
      <c r="P14" s="444"/>
      <c r="Q14" s="86">
        <f>SUM(Q8:Q13)</f>
        <v>0</v>
      </c>
      <c r="AA14" s="28" t="s">
        <v>78</v>
      </c>
      <c r="AO14" s="566" t="s">
        <v>532</v>
      </c>
      <c r="AP14" s="566"/>
      <c r="AQ14" s="310">
        <f>SUM(AQ8:AQ13)</f>
        <v>0</v>
      </c>
    </row>
    <row r="15" spans="2:27" s="65" customFormat="1" ht="24.75" customHeight="1">
      <c r="B15" s="468" t="s">
        <v>551</v>
      </c>
      <c r="C15" s="469"/>
      <c r="D15" s="469"/>
      <c r="E15" s="469"/>
      <c r="F15" s="469"/>
      <c r="G15" s="469"/>
      <c r="H15" s="469"/>
      <c r="I15" s="469"/>
      <c r="J15" s="469"/>
      <c r="K15" s="469"/>
      <c r="L15" s="469"/>
      <c r="M15" s="469"/>
      <c r="N15" s="469"/>
      <c r="O15" s="469"/>
      <c r="P15" s="469"/>
      <c r="Q15" s="470"/>
      <c r="AA15" s="28" t="s">
        <v>79</v>
      </c>
    </row>
    <row r="16" spans="2:27" s="65" customFormat="1" ht="24.75" customHeight="1">
      <c r="B16" s="474" t="s">
        <v>553</v>
      </c>
      <c r="C16" s="475"/>
      <c r="D16" s="475"/>
      <c r="E16" s="475"/>
      <c r="F16" s="475"/>
      <c r="G16" s="476"/>
      <c r="H16" s="597">
        <v>0</v>
      </c>
      <c r="I16" s="598"/>
      <c r="J16" s="575" t="s">
        <v>552</v>
      </c>
      <c r="K16" s="475"/>
      <c r="L16" s="475"/>
      <c r="M16" s="475"/>
      <c r="N16" s="475"/>
      <c r="O16" s="476"/>
      <c r="P16" s="66" t="s">
        <v>62</v>
      </c>
      <c r="Q16" s="132">
        <f>Q14*(1-H16/100)</f>
        <v>0</v>
      </c>
      <c r="AA16" s="28" t="s">
        <v>80</v>
      </c>
    </row>
    <row r="17" spans="2:27" s="65" customFormat="1" ht="19.5" customHeight="1">
      <c r="B17" s="591"/>
      <c r="C17" s="592"/>
      <c r="D17" s="592"/>
      <c r="E17" s="592"/>
      <c r="F17" s="592"/>
      <c r="G17" s="592"/>
      <c r="H17" s="592"/>
      <c r="I17" s="593"/>
      <c r="J17" s="602" t="s">
        <v>557</v>
      </c>
      <c r="K17" s="603"/>
      <c r="L17" s="604"/>
      <c r="M17" s="302">
        <v>2</v>
      </c>
      <c r="N17" s="292" t="s">
        <v>558</v>
      </c>
      <c r="O17" s="293">
        <f>Q16</f>
        <v>0</v>
      </c>
      <c r="P17" s="66" t="s">
        <v>62</v>
      </c>
      <c r="Q17" s="132">
        <f>M17/100*O17</f>
        <v>0</v>
      </c>
      <c r="AA17" s="28" t="s">
        <v>81</v>
      </c>
    </row>
    <row r="18" spans="2:27" s="65" customFormat="1" ht="19.5" customHeight="1">
      <c r="B18" s="591"/>
      <c r="C18" s="592"/>
      <c r="D18" s="592"/>
      <c r="E18" s="592"/>
      <c r="F18" s="592"/>
      <c r="G18" s="592"/>
      <c r="H18" s="592"/>
      <c r="I18" s="593"/>
      <c r="J18" s="575" t="s">
        <v>414</v>
      </c>
      <c r="K18" s="475"/>
      <c r="L18" s="475"/>
      <c r="M18" s="475"/>
      <c r="N18" s="475"/>
      <c r="O18" s="476"/>
      <c r="P18" s="66" t="s">
        <v>62</v>
      </c>
      <c r="Q18" s="255">
        <f>Q16+Q17</f>
        <v>0</v>
      </c>
      <c r="AA18" s="28" t="s">
        <v>82</v>
      </c>
    </row>
    <row r="19" spans="2:27" s="65" customFormat="1" ht="19.5" customHeight="1">
      <c r="B19" s="591"/>
      <c r="C19" s="592"/>
      <c r="D19" s="592"/>
      <c r="E19" s="592"/>
      <c r="F19" s="592"/>
      <c r="G19" s="592"/>
      <c r="H19" s="592"/>
      <c r="I19" s="593"/>
      <c r="J19" s="599" t="s">
        <v>559</v>
      </c>
      <c r="K19" s="600"/>
      <c r="L19" s="601"/>
      <c r="M19" s="302">
        <v>22</v>
      </c>
      <c r="N19" s="292" t="s">
        <v>558</v>
      </c>
      <c r="O19" s="254">
        <f>Q18</f>
        <v>0</v>
      </c>
      <c r="P19" s="66" t="s">
        <v>62</v>
      </c>
      <c r="Q19" s="132">
        <f>M19/100*O19</f>
        <v>0</v>
      </c>
      <c r="AA19" s="28" t="s">
        <v>83</v>
      </c>
    </row>
    <row r="20" spans="2:27" s="65" customFormat="1" ht="24.75" customHeight="1" thickBot="1">
      <c r="B20" s="594"/>
      <c r="C20" s="595"/>
      <c r="D20" s="595"/>
      <c r="E20" s="595"/>
      <c r="F20" s="595"/>
      <c r="G20" s="595"/>
      <c r="H20" s="595"/>
      <c r="I20" s="596"/>
      <c r="J20" s="585" t="s">
        <v>63</v>
      </c>
      <c r="K20" s="586"/>
      <c r="L20" s="586"/>
      <c r="M20" s="586"/>
      <c r="N20" s="586"/>
      <c r="O20" s="587"/>
      <c r="P20" s="134" t="s">
        <v>62</v>
      </c>
      <c r="Q20" s="256">
        <f>Q18+Q19</f>
        <v>0</v>
      </c>
      <c r="AA20" s="28" t="s">
        <v>84</v>
      </c>
    </row>
    <row r="21" ht="15.75">
      <c r="AA21" s="28" t="s">
        <v>85</v>
      </c>
    </row>
    <row r="22" ht="15.75">
      <c r="AA22" s="28" t="s">
        <v>86</v>
      </c>
    </row>
    <row r="23" ht="15.75">
      <c r="AA23" s="28" t="s">
        <v>87</v>
      </c>
    </row>
    <row r="24" ht="16.5" thickBot="1">
      <c r="AA24" s="17" t="s">
        <v>88</v>
      </c>
    </row>
    <row r="25" ht="16.5" thickTop="1">
      <c r="AA25" s="29" t="s">
        <v>89</v>
      </c>
    </row>
    <row r="26" ht="15.75">
      <c r="AA26" s="28" t="s">
        <v>90</v>
      </c>
    </row>
    <row r="27" ht="15.75">
      <c r="AA27" s="28" t="s">
        <v>91</v>
      </c>
    </row>
    <row r="28" ht="15.75">
      <c r="AA28" s="28" t="s">
        <v>92</v>
      </c>
    </row>
    <row r="29" ht="15.75">
      <c r="AA29" s="28" t="s">
        <v>93</v>
      </c>
    </row>
    <row r="30" ht="16.5" thickBot="1">
      <c r="AA30" s="17" t="s">
        <v>94</v>
      </c>
    </row>
    <row r="31" ht="16.5" thickTop="1">
      <c r="AA31" s="29" t="s">
        <v>138</v>
      </c>
    </row>
    <row r="32" ht="15.75">
      <c r="AA32" s="28" t="s">
        <v>139</v>
      </c>
    </row>
    <row r="33" ht="15.75">
      <c r="AA33" s="28" t="s">
        <v>140</v>
      </c>
    </row>
    <row r="34" ht="15.75">
      <c r="AA34" s="28" t="s">
        <v>141</v>
      </c>
    </row>
    <row r="35" ht="15.75">
      <c r="AA35" s="28" t="s">
        <v>142</v>
      </c>
    </row>
    <row r="36" ht="15.75">
      <c r="AA36" s="28" t="s">
        <v>426</v>
      </c>
    </row>
    <row r="37" ht="15.75">
      <c r="AA37" s="28" t="s">
        <v>145</v>
      </c>
    </row>
    <row r="38" ht="15.75">
      <c r="AA38" s="28" t="s">
        <v>146</v>
      </c>
    </row>
    <row r="39" ht="15.75">
      <c r="AA39" s="28" t="s">
        <v>147</v>
      </c>
    </row>
    <row r="40" ht="15.75">
      <c r="AA40" s="28" t="s">
        <v>149</v>
      </c>
    </row>
    <row r="41" ht="15.75">
      <c r="AA41" s="28" t="s">
        <v>150</v>
      </c>
    </row>
    <row r="42" ht="15.75">
      <c r="AA42" s="28" t="s">
        <v>152</v>
      </c>
    </row>
    <row r="43" ht="16.5" thickBot="1">
      <c r="AA43" s="17" t="s">
        <v>154</v>
      </c>
    </row>
    <row r="44" ht="16.5" thickTop="1">
      <c r="AA44" s="29" t="s">
        <v>157</v>
      </c>
    </row>
    <row r="45" ht="15.75">
      <c r="AA45" s="28" t="s">
        <v>160</v>
      </c>
    </row>
    <row r="46" ht="16.5" thickBot="1">
      <c r="AA46" s="17" t="s">
        <v>163</v>
      </c>
    </row>
    <row r="47" ht="16.5" thickTop="1">
      <c r="AA47" s="29" t="s">
        <v>165</v>
      </c>
    </row>
    <row r="48" ht="15.75">
      <c r="AA48" s="28" t="s">
        <v>168</v>
      </c>
    </row>
    <row r="49" ht="15.75">
      <c r="AA49" s="28" t="s">
        <v>170</v>
      </c>
    </row>
    <row r="50" ht="15.75">
      <c r="AA50" s="29" t="s">
        <v>172</v>
      </c>
    </row>
    <row r="51" ht="16.5" thickBot="1">
      <c r="AA51" s="17" t="s">
        <v>173</v>
      </c>
    </row>
    <row r="52" ht="16.5" thickTop="1">
      <c r="AA52" s="29" t="s">
        <v>175</v>
      </c>
    </row>
    <row r="53" ht="15.75">
      <c r="AA53" s="28" t="s">
        <v>177</v>
      </c>
    </row>
    <row r="54" ht="16.5" thickBot="1">
      <c r="AA54" s="17" t="s">
        <v>179</v>
      </c>
    </row>
    <row r="55" ht="16.5" thickTop="1">
      <c r="AA55" s="29" t="s">
        <v>182</v>
      </c>
    </row>
    <row r="56" ht="15.75">
      <c r="AA56" s="28" t="s">
        <v>184</v>
      </c>
    </row>
    <row r="57" ht="15.75">
      <c r="AA57" s="28" t="s">
        <v>186</v>
      </c>
    </row>
    <row r="58" ht="15.75">
      <c r="AA58" s="28" t="s">
        <v>188</v>
      </c>
    </row>
    <row r="59" ht="15.75">
      <c r="AA59" s="28" t="s">
        <v>191</v>
      </c>
    </row>
    <row r="60" ht="16.5" thickBot="1">
      <c r="AA60" s="17" t="s">
        <v>194</v>
      </c>
    </row>
    <row r="61" ht="16.5" thickTop="1">
      <c r="AA61" s="48" t="s">
        <v>198</v>
      </c>
    </row>
    <row r="62" ht="15.75">
      <c r="AA62" s="28" t="s">
        <v>200</v>
      </c>
    </row>
    <row r="63" ht="16.5" thickBot="1">
      <c r="AA63" s="17" t="s">
        <v>203</v>
      </c>
    </row>
    <row r="64" ht="13.5" thickTop="1"/>
  </sheetData>
  <sheetProtection/>
  <mergeCells count="37">
    <mergeCell ref="E1:Q1"/>
    <mergeCell ref="B1:D1"/>
    <mergeCell ref="F3:I3"/>
    <mergeCell ref="B3:E3"/>
    <mergeCell ref="J3:N3"/>
    <mergeCell ref="F4:F5"/>
    <mergeCell ref="G4:G5"/>
    <mergeCell ref="J19:L19"/>
    <mergeCell ref="J17:L17"/>
    <mergeCell ref="Q4:Q6"/>
    <mergeCell ref="C4:C5"/>
    <mergeCell ref="D4:D5"/>
    <mergeCell ref="O4:O6"/>
    <mergeCell ref="B14:D14"/>
    <mergeCell ref="H14:L14"/>
    <mergeCell ref="M14:P14"/>
    <mergeCell ref="N4:N5"/>
    <mergeCell ref="J18:O18"/>
    <mergeCell ref="H4:M5"/>
    <mergeCell ref="H6:N6"/>
    <mergeCell ref="P4:P6"/>
    <mergeCell ref="J20:O20"/>
    <mergeCell ref="B2:Q2"/>
    <mergeCell ref="B17:I20"/>
    <mergeCell ref="B16:G16"/>
    <mergeCell ref="J16:O16"/>
    <mergeCell ref="H16:I16"/>
    <mergeCell ref="AO14:AP14"/>
    <mergeCell ref="AO5:AO7"/>
    <mergeCell ref="AP5:AP7"/>
    <mergeCell ref="AQ5:AQ7"/>
    <mergeCell ref="B15:Q15"/>
    <mergeCell ref="O3:Q3"/>
    <mergeCell ref="B4:B7"/>
    <mergeCell ref="E4:E6"/>
    <mergeCell ref="AH5:AM6"/>
    <mergeCell ref="AN5:AN7"/>
  </mergeCells>
  <conditionalFormatting sqref="R8:R13">
    <cfRule type="containsText" priority="1" dxfId="0" operator="containsText" stopIfTrue="1" text="ATTENZIONE E' STATO IMMESSO UN ID NON PRESENTE NELLA Tab Z-1">
      <formula>NOT(ISERROR(SEARCH("ATTENZIONE E' STATO IMMESSO UN ID NON PRESENTE NELLA Tab Z-1",R8)))</formula>
    </cfRule>
    <cfRule type="containsText" priority="2" dxfId="0" operator="containsText" stopIfTrue="1" text="ATTENZIONE E' STATO IMMESSO UN ID NON PRESENTE NELLA Tab Z-1">
      <formula>NOT(ISERROR(SEARCH("ATTENZIONE E' STATO IMMESSO UN ID NON PRESENTE NELLA Tab Z-1",R8)))</formula>
    </cfRule>
  </conditionalFormatting>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Foglio12">
    <tabColor rgb="FF00B0F0"/>
  </sheetPr>
  <dimension ref="B2:H24"/>
  <sheetViews>
    <sheetView zoomScalePageLayoutView="0" workbookViewId="0" topLeftCell="A10">
      <selection activeCell="G15" sqref="G15"/>
    </sheetView>
  </sheetViews>
  <sheetFormatPr defaultColWidth="9.140625" defaultRowHeight="12.75"/>
  <cols>
    <col min="1" max="1" width="4.00390625" style="0" customWidth="1"/>
    <col min="2" max="2" width="4.57421875" style="0" customWidth="1"/>
    <col min="3" max="3" width="21.140625" style="0" customWidth="1"/>
    <col min="4" max="4" width="50.28125" style="0" customWidth="1"/>
    <col min="5" max="5" width="16.28125" style="0" customWidth="1"/>
  </cols>
  <sheetData>
    <row r="1" ht="29.25" customHeight="1" thickBot="1"/>
    <row r="2" spans="2:5" s="11" customFormat="1" ht="32.25" customHeight="1">
      <c r="B2" s="617" t="s">
        <v>477</v>
      </c>
      <c r="C2" s="618"/>
      <c r="D2" s="618"/>
      <c r="E2" s="619"/>
    </row>
    <row r="3" spans="2:5" ht="52.5" customHeight="1">
      <c r="B3" s="506" t="str">
        <f>'PARC INGG PARZ'!E1</f>
        <v>LAVORI DI RIQUALIFICAZIONE URBANA DEL CENTRO STORICO – 
RIQUALIFICAZIONE E VALORIZZAZIONE DELLA PIAZZA VITTORIO EMANUELE ORLANDO - CINISI (PA)</v>
      </c>
      <c r="C3" s="507"/>
      <c r="D3" s="507"/>
      <c r="E3" s="508"/>
    </row>
    <row r="4" spans="2:5" ht="27.75" customHeight="1">
      <c r="B4" s="614" t="s">
        <v>519</v>
      </c>
      <c r="C4" s="615"/>
      <c r="D4" s="615"/>
      <c r="E4" s="616"/>
    </row>
    <row r="5" spans="2:5" ht="52.5" customHeight="1">
      <c r="B5" s="259" t="s">
        <v>406</v>
      </c>
      <c r="C5" s="247" t="s">
        <v>545</v>
      </c>
      <c r="D5" s="247" t="s">
        <v>546</v>
      </c>
      <c r="E5" s="251" t="s">
        <v>520</v>
      </c>
    </row>
    <row r="6" spans="2:5" ht="39.75" customHeight="1">
      <c r="B6" s="259">
        <v>1</v>
      </c>
      <c r="C6" s="264">
        <f>'PARC INGG PARZ'!$D$4</f>
      </c>
      <c r="D6" s="263">
        <f>'PARC INGG PARZ'!$D$5</f>
      </c>
      <c r="E6" s="252">
        <f>'PARC INGG PARZ'!$D$12</f>
        <v>0</v>
      </c>
    </row>
    <row r="7" spans="2:5" ht="49.5" customHeight="1">
      <c r="B7" s="259">
        <v>2</v>
      </c>
      <c r="C7" s="264">
        <f>'PARC INGG PARZ'!$E$4</f>
      </c>
      <c r="D7" s="263">
        <f>'PARC INGG PARZ'!$E$5</f>
      </c>
      <c r="E7" s="252">
        <f>'PARC INGG PARZ'!$E$12</f>
        <v>0</v>
      </c>
    </row>
    <row r="8" spans="2:5" ht="60" customHeight="1">
      <c r="B8" s="259">
        <v>3</v>
      </c>
      <c r="C8" s="264">
        <f>'PARC INGG PARZ'!$F$4</f>
      </c>
      <c r="D8" s="263">
        <f>'PARC INGG PARZ'!$F$5</f>
      </c>
      <c r="E8" s="252">
        <f>'PARC INGG PARZ'!$F$12</f>
        <v>0</v>
      </c>
    </row>
    <row r="9" spans="2:5" ht="39.75" customHeight="1">
      <c r="B9" s="259">
        <v>4</v>
      </c>
      <c r="C9" s="264">
        <f>'PARC INGG PARZ'!$G$4</f>
      </c>
      <c r="D9" s="263">
        <f>'PARC INGG PARZ'!$G$5</f>
      </c>
      <c r="E9" s="252">
        <f>'PARC INGG PARZ'!$G$12</f>
        <v>0</v>
      </c>
    </row>
    <row r="10" spans="2:5" ht="39.75" customHeight="1">
      <c r="B10" s="259">
        <v>5</v>
      </c>
      <c r="C10" s="264" t="str">
        <f>'PARC INGG PARZ'!$H$4</f>
        <v>ESECUZIONE DEI LAVORI</v>
      </c>
      <c r="D10" s="263" t="str">
        <f>'PARC INGG PARZ'!$H$5</f>
        <v>Qc.I.01 Qc.I.02 Qc.I.03      Qc.I.09   Qc.I.12 </v>
      </c>
      <c r="E10" s="252">
        <f>'PARC INGG PARZ'!$H$12</f>
        <v>57049.514126543705</v>
      </c>
    </row>
    <row r="11" spans="2:5" ht="39.75" customHeight="1">
      <c r="B11" s="259">
        <v>6</v>
      </c>
      <c r="C11" s="264">
        <f>'PARC INGG PARZ'!$I$4</f>
      </c>
      <c r="D11" s="263">
        <f>'PARC INGG PARZ'!$I$5</f>
      </c>
      <c r="E11" s="252">
        <f>'PARC INGG PARZ'!$I$12</f>
        <v>0</v>
      </c>
    </row>
    <row r="12" spans="2:5" ht="39.75" customHeight="1">
      <c r="B12" s="259">
        <v>7</v>
      </c>
      <c r="C12" s="264">
        <f>'PARC INGG PARZ'!$J$4</f>
      </c>
      <c r="D12" s="263">
        <f>'PARC INGG PARZ'!$J$5</f>
      </c>
      <c r="E12" s="252">
        <f>'PARC INGG PARZ'!$J$12</f>
        <v>0</v>
      </c>
    </row>
    <row r="13" spans="2:5" ht="24.75" customHeight="1">
      <c r="B13" s="250"/>
      <c r="C13" s="248"/>
      <c r="D13" s="261" t="s">
        <v>540</v>
      </c>
      <c r="E13" s="262">
        <f>SUM(E6:E12)</f>
        <v>57049.514126543705</v>
      </c>
    </row>
    <row r="14" spans="2:5" ht="51.75" customHeight="1">
      <c r="B14" s="259">
        <v>8</v>
      </c>
      <c r="C14" s="264" t="s">
        <v>570</v>
      </c>
      <c r="D14" s="249">
        <f>IF('PARC GEOLOGO'!Q8&lt;&gt;0,CONCATENATE(TABGEOL!U3," ",TABGEOL!U4," ",TABGEOL!U10),"")</f>
      </c>
      <c r="E14" s="252">
        <f>'PARC GEOLOGO'!Q14-'PARC GEOLOGO'!AQ14</f>
        <v>0</v>
      </c>
    </row>
    <row r="15" spans="2:8" ht="51.75" customHeight="1">
      <c r="B15" s="259">
        <v>9</v>
      </c>
      <c r="C15" s="264" t="s">
        <v>569</v>
      </c>
      <c r="D15" s="249">
        <f>IF('PARC GEOLOGO'!Q8&lt;&gt;0,TABGEOL!U16,"")</f>
      </c>
      <c r="E15" s="252">
        <f>'PARC GEOLOGO'!AQ14</f>
        <v>0</v>
      </c>
      <c r="H15" s="312"/>
    </row>
    <row r="16" spans="2:5" ht="30" customHeight="1">
      <c r="B16" s="259">
        <v>10</v>
      </c>
      <c r="C16" s="265" t="s">
        <v>533</v>
      </c>
      <c r="D16" s="248" t="s">
        <v>534</v>
      </c>
      <c r="E16" s="252"/>
    </row>
    <row r="17" spans="2:5" ht="30" customHeight="1">
      <c r="B17" s="259">
        <v>11</v>
      </c>
      <c r="C17" s="265" t="s">
        <v>533</v>
      </c>
      <c r="D17" s="248" t="s">
        <v>542</v>
      </c>
      <c r="E17" s="252"/>
    </row>
    <row r="18" spans="2:5" ht="33" customHeight="1" thickBot="1">
      <c r="B18" s="620" t="s">
        <v>532</v>
      </c>
      <c r="C18" s="621"/>
      <c r="D18" s="621"/>
      <c r="E18" s="253">
        <f>E13+SUM(E14:E17)</f>
        <v>57049.514126543705</v>
      </c>
    </row>
    <row r="19" spans="2:5" ht="29.25" customHeight="1">
      <c r="B19" s="515" t="s">
        <v>554</v>
      </c>
      <c r="C19" s="516"/>
      <c r="D19" s="516"/>
      <c r="E19" s="517"/>
    </row>
    <row r="20" spans="2:5" ht="33" customHeight="1">
      <c r="B20" s="495" t="s">
        <v>553</v>
      </c>
      <c r="C20" s="496"/>
      <c r="D20" s="307">
        <v>0</v>
      </c>
      <c r="E20" s="314">
        <f>E18*(1-D20/100)</f>
        <v>57049.514126543705</v>
      </c>
    </row>
    <row r="21" spans="2:5" ht="22.5" customHeight="1" thickBot="1">
      <c r="B21" s="497" t="s">
        <v>544</v>
      </c>
      <c r="C21" s="498"/>
      <c r="D21" s="267">
        <f>E20</f>
        <v>57049.514126543705</v>
      </c>
      <c r="E21" s="313">
        <f>E18*0.04</f>
        <v>2281.980565061748</v>
      </c>
    </row>
    <row r="22" spans="2:5" ht="22.5" customHeight="1" thickTop="1">
      <c r="B22" s="270"/>
      <c r="C22" s="268"/>
      <c r="D22" s="269" t="s">
        <v>414</v>
      </c>
      <c r="E22" s="274">
        <f>E18+E21</f>
        <v>59331.494691605454</v>
      </c>
    </row>
    <row r="23" spans="2:5" ht="22.5" customHeight="1" thickBot="1">
      <c r="B23" s="497" t="s">
        <v>415</v>
      </c>
      <c r="C23" s="498"/>
      <c r="D23" s="267">
        <f>E22</f>
        <v>59331.494691605454</v>
      </c>
      <c r="E23" s="273">
        <f>0.22*E22</f>
        <v>13052.9288321532</v>
      </c>
    </row>
    <row r="24" spans="2:5" ht="24.75" customHeight="1" thickBot="1" thickTop="1">
      <c r="B24" s="271"/>
      <c r="C24" s="272"/>
      <c r="D24" s="272" t="s">
        <v>535</v>
      </c>
      <c r="E24" s="275">
        <f>E22+E23</f>
        <v>72384.42352375865</v>
      </c>
    </row>
  </sheetData>
  <sheetProtection/>
  <mergeCells count="8">
    <mergeCell ref="B23:C23"/>
    <mergeCell ref="B4:E4"/>
    <mergeCell ref="B3:E3"/>
    <mergeCell ref="B2:E2"/>
    <mergeCell ref="B18:D18"/>
    <mergeCell ref="B21:C21"/>
    <mergeCell ref="B19:E19"/>
    <mergeCell ref="B20:C20"/>
  </mergeCells>
  <printOptions/>
  <pageMargins left="0.7" right="0.7" top="0.75" bottom="0.75" header="0.3" footer="0.3"/>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codeName="Foglio13">
    <tabColor rgb="FF00B0F0"/>
  </sheetPr>
  <dimension ref="B1:T20"/>
  <sheetViews>
    <sheetView zoomScale="85" zoomScaleNormal="85" zoomScalePageLayoutView="0" workbookViewId="0" topLeftCell="A4">
      <selection activeCell="H12" sqref="H12"/>
    </sheetView>
  </sheetViews>
  <sheetFormatPr defaultColWidth="9.140625" defaultRowHeight="12.75"/>
  <cols>
    <col min="1" max="1" width="1.421875" style="11" customWidth="1"/>
    <col min="2" max="2" width="4.57421875" style="11" customWidth="1"/>
    <col min="3" max="3" width="6.28125" style="11" customWidth="1"/>
    <col min="4" max="5" width="14.7109375" style="11" customWidth="1"/>
    <col min="6" max="8" width="15.7109375" style="11" customWidth="1"/>
    <col min="9" max="10" width="14.7109375" style="11" customWidth="1"/>
    <col min="11" max="11" width="13.7109375" style="181" customWidth="1"/>
    <col min="12" max="19" width="9.140625" style="11" customWidth="1"/>
    <col min="20" max="16384" width="9.140625" style="11" customWidth="1"/>
  </cols>
  <sheetData>
    <row r="1" spans="2:11" ht="32.25" customHeight="1">
      <c r="B1" s="624" t="s">
        <v>477</v>
      </c>
      <c r="C1" s="625"/>
      <c r="D1" s="625"/>
      <c r="E1" s="622" t="str">
        <f>'PARC INGG'!E1:P1</f>
        <v>LAVORI DI RIQUALIFICAZIONE URBANA DEL CENTRO STORICO – 
RIQUALIFICAZIONE E VALORIZZAZIONE DELLA PIAZZA VITTORIO EMANUELE ORLANDO - CINISI (PA)</v>
      </c>
      <c r="F1" s="622"/>
      <c r="G1" s="622"/>
      <c r="H1" s="622"/>
      <c r="I1" s="622"/>
      <c r="J1" s="622"/>
      <c r="K1" s="623"/>
    </row>
    <row r="2" spans="2:11" ht="27.75" customHeight="1">
      <c r="B2" s="233"/>
      <c r="C2" s="234"/>
      <c r="D2" s="478" t="s">
        <v>465</v>
      </c>
      <c r="E2" s="478"/>
      <c r="F2" s="478"/>
      <c r="G2" s="478"/>
      <c r="H2" s="478"/>
      <c r="I2" s="234"/>
      <c r="J2" s="234"/>
      <c r="K2" s="238"/>
    </row>
    <row r="3" spans="2:11" ht="25.5" customHeight="1">
      <c r="B3" s="628"/>
      <c r="C3" s="572" t="s">
        <v>564</v>
      </c>
      <c r="D3" s="215">
        <f>IF(D5&lt;&gt;"","aI) - aIV)","")</f>
      </c>
      <c r="E3" s="216">
        <f>IF(E5&lt;&gt;"","b.I)","")</f>
      </c>
      <c r="F3" s="213">
        <f>IF(F5&lt;&gt;"","b.II)","")</f>
      </c>
      <c r="G3" s="91">
        <f>IF(G5&lt;&gt;"","b.III)","")</f>
      </c>
      <c r="H3" s="260" t="str">
        <f>IF(H5&lt;&gt;"","c.I)","")</f>
        <v>c.I)</v>
      </c>
      <c r="I3" s="214">
        <f>IF(I5&lt;&gt;"","d.I)","")</f>
      </c>
      <c r="J3" s="70">
        <f>IF(J5&lt;&gt;"","e.I)","")</f>
      </c>
      <c r="K3" s="461" t="s">
        <v>504</v>
      </c>
    </row>
    <row r="4" spans="2:11" ht="65.25" customHeight="1">
      <c r="B4" s="629"/>
      <c r="C4" s="574"/>
      <c r="D4" s="215">
        <f>IF(D5&lt;&gt;"","ATTIVITA' PROPED. ALLA PROGETTAZ.","")</f>
      </c>
      <c r="E4" s="216">
        <f>IF(E5&lt;&gt;"","PROGETTAZIONE PRELIMINARE","")</f>
      </c>
      <c r="F4" s="213">
        <f>IF(F5&lt;&gt;"","PROGETTAZIONE DEFINITIVA","")</f>
      </c>
      <c r="G4" s="91">
        <f>IF(G5&lt;&gt;"","PROGETTAZIONE ESECUTIVA","")</f>
      </c>
      <c r="H4" s="260" t="str">
        <f>IF(H5&lt;&gt;"","ESECUZIONE DEI LAVORI","")</f>
        <v>ESECUZIONE DEI LAVORI</v>
      </c>
      <c r="I4" s="214">
        <f>IF(I5&lt;&gt;"","VERIFICHE E COLLAUDI","")</f>
      </c>
      <c r="J4" s="70">
        <f>IF(J5&lt;&gt;"","MONITORAGGI E CONTROLLI","")</f>
      </c>
      <c r="K4" s="462"/>
    </row>
    <row r="5" spans="2:11" ht="109.5" customHeight="1">
      <c r="B5" s="240" t="s">
        <v>406</v>
      </c>
      <c r="C5" s="306" t="s">
        <v>565</v>
      </c>
      <c r="D5" s="212">
        <f>IF(TABING!$Z13&lt;&gt;0,CONCATENATE(TABING!AA5," ",TABING!AA8," ",TABING!AA11," ",TABING!AA13),"")</f>
      </c>
      <c r="E5" s="212">
        <f>IF(OR(TABING!Z38&lt;&gt;0,TABING!C30="SI",TABING!C33="SI"),CONCATENATE(TABING!AA37," ",TABING!AA38),"")</f>
      </c>
      <c r="F5" s="212">
        <f>IF(OR(TABING!Z70&lt;&gt;0,TABING!C62="SI",TABING!C65="SI"),CONCATENATE(TABING!AA69," ",TABING!AA70),"")</f>
      </c>
      <c r="G5" s="212">
        <f>IF(TABING!Z82&lt;&gt;0,TABING!AA82,"")</f>
      </c>
      <c r="H5" s="212" t="str">
        <f>IF(TABING!Z97&lt;&gt;0,TABING!AA97,"")</f>
        <v>Qc.I.01 Qc.I.02 Qc.I.03      Qc.I.09   Qc.I.12 </v>
      </c>
      <c r="I5" s="212">
        <f>IF(TABING!$Z103&lt;&gt;0,TABING!AA103,"")</f>
      </c>
      <c r="J5" s="212">
        <f>IF(TABING!$Z106&lt;&gt;0,TABING!AA106,"")</f>
      </c>
      <c r="K5" s="463"/>
    </row>
    <row r="6" spans="2:11" ht="21.75" customHeight="1">
      <c r="B6" s="240">
        <v>1</v>
      </c>
      <c r="C6" s="239" t="str">
        <f>IF('PARC INGG'!C9&lt;&gt;"",'PARC INGG'!C9,"")</f>
        <v>E.19</v>
      </c>
      <c r="D6" s="182">
        <f>IF($C6&lt;&gt;"",_xlfn.IFERROR(HLOOKUP(LEFT($C6,2),TABING!$Q$2:$Y$106,12,FALSE)*'PARC INGG'!AL9,""),"")</f>
        <v>0</v>
      </c>
      <c r="E6" s="182">
        <f>_xlfn.IFERROR(IF($C6&lt;&gt;"",HLOOKUP(LEFT($C6,2),TABING!$Q$2:$Y$106,37,FALSE)*'PARC INGG'!AL9+'PARC INGG'!AI9,""),"")</f>
        <v>0</v>
      </c>
      <c r="F6" s="182">
        <f>_xlfn.IFERROR(IF($C6&lt;&gt;"",HLOOKUP(LEFT($C6,2),TABING!$Q$2:$Y$106,69,FALSE)*'PARC INGG'!AL9+'PARC INGG'!AJ9,""),"")</f>
        <v>0</v>
      </c>
      <c r="G6" s="182">
        <f>_xlfn.IFERROR(IF($C6&lt;&gt;"",HLOOKUP(LEFT($C6,2),TABING!$Q$2:$Y$106,81,FALSE)*'PARC INGG'!AL9,""),"")</f>
        <v>0</v>
      </c>
      <c r="H6" s="182">
        <f>_xlfn.IFERROR(IF($C6&lt;&gt;"",HLOOKUP(LEFT($C6,2),TABING!$Q$2:$Y$106,96,FALSE)*'PARC INGG'!AL9+'PARC INGG'!AK9,""),"")</f>
        <v>32136.792324342456</v>
      </c>
      <c r="I6" s="182">
        <f>_xlfn.IFERROR(IF($C6&lt;&gt;"",HLOOKUP(LEFT($C6,2),TABING!$Q$2:$Y$106,102,FALSE)*'PARC INGG'!$AL9,""),"")</f>
        <v>0</v>
      </c>
      <c r="J6" s="182">
        <f>_xlfn.IFERROR(IF($C6&lt;&gt;"",HLOOKUP(LEFT($C6,2),TABING!$Q$2:$Y$106,105,FALSE)*'PARC INGG'!$AL9,""),"")</f>
        <v>0</v>
      </c>
      <c r="K6" s="218">
        <f aca="true" t="shared" si="0" ref="K6:K11">IF(C6&lt;&gt;"",SUM(D6:J6),"")</f>
        <v>32136.792324342456</v>
      </c>
    </row>
    <row r="7" spans="2:11" ht="21.75" customHeight="1">
      <c r="B7" s="240">
        <f>IF(AND(C6&lt;&gt;"",C7&lt;&gt;""),B6+1,"")</f>
        <v>2</v>
      </c>
      <c r="C7" s="239" t="str">
        <f>IF('PARC INGG'!C10&lt;&gt;"",'PARC INGG'!C10,"")</f>
        <v>E.22</v>
      </c>
      <c r="D7" s="182">
        <f>IF($C7&lt;&gt;"",_xlfn.IFERROR(HLOOKUP(LEFT($C7,2),TABING!$Q$2:$Y$106,12,FALSE)*'PARC INGG'!AL10,""),"")</f>
        <v>0</v>
      </c>
      <c r="E7" s="182">
        <f>_xlfn.IFERROR(IF($C7&lt;&gt;"",HLOOKUP(LEFT($C7,2),TABING!$Q$2:$Y$106,37,FALSE)*'PARC INGG'!AL10+'PARC INGG'!AI10,""),"")</f>
        <v>0</v>
      </c>
      <c r="F7" s="182">
        <f>_xlfn.IFERROR(IF($C7&lt;&gt;"",HLOOKUP(LEFT($C7,2),TABING!$Q$2:$Y$106,69,FALSE)*'PARC INGG'!AL10+'PARC INGG'!AJ10,""),"")</f>
        <v>0</v>
      </c>
      <c r="G7" s="182">
        <f>_xlfn.IFERROR(IF($C7&lt;&gt;"",HLOOKUP(LEFT($C7,2),TABING!$Q$2:$Y$106,81,FALSE)*'PARC INGG'!AL10,""),"")</f>
        <v>0</v>
      </c>
      <c r="H7" s="182">
        <f>_xlfn.IFERROR(IF($C7&lt;&gt;"",HLOOKUP(LEFT($C7,2),TABING!$Q$2:$Y$106,96,FALSE)*'PARC INGG'!AL10+'PARC INGG'!AK10,""),"")</f>
        <v>10817.536694968623</v>
      </c>
      <c r="I7" s="182">
        <f>_xlfn.IFERROR(IF($C7&lt;&gt;"",HLOOKUP(LEFT($C7,2),TABING!$Q$2:$Y$106,102,FALSE)*'PARC INGG'!$AL10,""),"")</f>
        <v>0</v>
      </c>
      <c r="J7" s="182">
        <f>_xlfn.IFERROR(IF($C7&lt;&gt;"",HLOOKUP(LEFT($C7,2),TABING!$Q$2:$Y$106,105,FALSE)*'PARC INGG'!$AL10,""),"")</f>
        <v>0</v>
      </c>
      <c r="K7" s="218">
        <f t="shared" si="0"/>
        <v>10817.536694968623</v>
      </c>
    </row>
    <row r="8" spans="2:11" ht="21.75" customHeight="1">
      <c r="B8" s="240">
        <f>IF(AND(C7&lt;&gt;"",C8&lt;&gt;""),B7+1,"")</f>
        <v>3</v>
      </c>
      <c r="C8" s="239" t="str">
        <f>IF('PARC INGG'!C11&lt;&gt;"",'PARC INGG'!C11,"")</f>
        <v>S.03</v>
      </c>
      <c r="D8" s="182">
        <f>IF($C8&lt;&gt;"",_xlfn.IFERROR(HLOOKUP(LEFT($C8,2),TABING!$Q$2:$Y$106,12,FALSE)*'PARC INGG'!AL11,""),"")</f>
        <v>0</v>
      </c>
      <c r="E8" s="182">
        <f>_xlfn.IFERROR(IF($C8&lt;&gt;"",HLOOKUP(LEFT($C8,2),TABING!$Q$2:$Y$106,37,FALSE)*'PARC INGG'!AL11+'PARC INGG'!AI11,""),"")</f>
        <v>0</v>
      </c>
      <c r="F8" s="182">
        <f>_xlfn.IFERROR(IF($C8&lt;&gt;"",HLOOKUP(LEFT($C8,2),TABING!$Q$2:$Y$106,69,FALSE)*'PARC INGG'!AL11+'PARC INGG'!AJ11,""),"")</f>
        <v>0</v>
      </c>
      <c r="G8" s="182">
        <f>_xlfn.IFERROR(IF($C8&lt;&gt;"",HLOOKUP(LEFT($C8,2),TABING!$Q$2:$Y$106,81,FALSE)*'PARC INGG'!AL11,""),"")</f>
        <v>0</v>
      </c>
      <c r="H8" s="182">
        <f>_xlfn.IFERROR(IF($C8&lt;&gt;"",HLOOKUP(LEFT($C8,2),TABING!$Q$2:$Y$106,96,FALSE)*'PARC INGG'!AL11+'PARC INGG'!AK11,""),"")</f>
        <v>2875.2018337984155</v>
      </c>
      <c r="I8" s="182">
        <f>_xlfn.IFERROR(IF($C8&lt;&gt;"",HLOOKUP(LEFT($C8,2),TABING!$Q$2:$Y$106,102,FALSE)*'PARC INGG'!$AL11,""),"")</f>
        <v>0</v>
      </c>
      <c r="J8" s="182">
        <f>_xlfn.IFERROR(IF($C8&lt;&gt;"",HLOOKUP(LEFT($C8,2),TABING!$Q$2:$Y$106,105,FALSE)*'PARC INGG'!$AL11,""),"")</f>
        <v>0</v>
      </c>
      <c r="K8" s="218">
        <f t="shared" si="0"/>
        <v>2875.2018337984155</v>
      </c>
    </row>
    <row r="9" spans="2:11" ht="21.75" customHeight="1">
      <c r="B9" s="240">
        <f>IF(AND(C8&lt;&gt;"",C9&lt;&gt;""),B8+1,"")</f>
        <v>4</v>
      </c>
      <c r="C9" s="239" t="str">
        <f>IF('PARC INGG'!C12&lt;&gt;"",'PARC INGG'!C12,"")</f>
        <v>IA.03</v>
      </c>
      <c r="D9" s="182">
        <f>IF($C9&lt;&gt;"",_xlfn.IFERROR(HLOOKUP(LEFT($C9,2),TABING!$Q$2:$Y$106,12,FALSE)*'PARC INGG'!AL12,""),"")</f>
        <v>0</v>
      </c>
      <c r="E9" s="182">
        <f>_xlfn.IFERROR(IF($C9&lt;&gt;"",HLOOKUP(LEFT($C9,2),TABING!$Q$2:$Y$106,37,FALSE)*'PARC INGG'!AL12+'PARC INGG'!AI12,""),"")</f>
        <v>0</v>
      </c>
      <c r="F9" s="182">
        <f>_xlfn.IFERROR(IF($C9&lt;&gt;"",HLOOKUP(LEFT($C9,2),TABING!$Q$2:$Y$106,69,FALSE)*'PARC INGG'!AL12+'PARC INGG'!AJ12,""),"")</f>
        <v>0</v>
      </c>
      <c r="G9" s="182">
        <f>_xlfn.IFERROR(IF($C9&lt;&gt;"",HLOOKUP(LEFT($C9,2),TABING!$Q$2:$Y$106,81,FALSE)*'PARC INGG'!AL12,""),"")</f>
        <v>0</v>
      </c>
      <c r="H9" s="182">
        <f>_xlfn.IFERROR(IF($C9&lt;&gt;"",HLOOKUP(LEFT($C9,2),TABING!$Q$2:$Y$106,96,FALSE)*'PARC INGG'!AL12+'PARC INGG'!AK12,""),"")</f>
        <v>9960.884001317021</v>
      </c>
      <c r="I9" s="182">
        <f>_xlfn.IFERROR(IF($C9&lt;&gt;"",HLOOKUP(LEFT($C9,2),TABING!$Q$2:$Y$106,102,FALSE)*'PARC INGG'!$AL12,""),"")</f>
        <v>0</v>
      </c>
      <c r="J9" s="182">
        <f>_xlfn.IFERROR(IF($C9&lt;&gt;"",HLOOKUP(LEFT($C9,2),TABING!$Q$2:$Y$106,105,FALSE)*'PARC INGG'!$AL12,""),"")</f>
        <v>0</v>
      </c>
      <c r="K9" s="218">
        <f t="shared" si="0"/>
        <v>9960.884001317021</v>
      </c>
    </row>
    <row r="10" spans="2:11" ht="21.75" customHeight="1">
      <c r="B10" s="240">
        <f>IF(AND(C9&lt;&gt;"",C10&lt;&gt;""),B9+1,"")</f>
        <v>5</v>
      </c>
      <c r="C10" s="239" t="str">
        <f>IF('PARC INGG'!C13&lt;&gt;"",'PARC INGG'!C13,"")</f>
        <v>IA.01</v>
      </c>
      <c r="D10" s="182">
        <f>IF($C10&lt;&gt;"",_xlfn.IFERROR(HLOOKUP(LEFT($C10,2),TABING!$Q$2:$Y$106,12,FALSE)*'PARC INGG'!AL13,""),"")</f>
        <v>0</v>
      </c>
      <c r="E10" s="182">
        <f>_xlfn.IFERROR(IF($C10&lt;&gt;"",HLOOKUP(LEFT($C10,2),TABING!$Q$2:$Y$106,37,FALSE)*'PARC INGG'!AL13+'PARC INGG'!AI13,""),"")</f>
        <v>0</v>
      </c>
      <c r="F10" s="182">
        <f>_xlfn.IFERROR(IF($C10&lt;&gt;"",HLOOKUP(LEFT($C10,2),TABING!$Q$2:$Y$106,69,FALSE)*'PARC INGG'!AL13+'PARC INGG'!AJ13,""),"")</f>
        <v>0</v>
      </c>
      <c r="G10" s="182">
        <f>_xlfn.IFERROR(IF($C10&lt;&gt;"",HLOOKUP(LEFT($C10,2),TABING!$Q$2:$Y$106,81,FALSE)*'PARC INGG'!AL13,""),"")</f>
        <v>0</v>
      </c>
      <c r="H10" s="182">
        <f>_xlfn.IFERROR(IF($C10&lt;&gt;"",HLOOKUP(LEFT($C10,2),TABING!$Q$2:$Y$106,96,FALSE)*'PARC INGG'!AL13+'PARC INGG'!AK13,""),"")</f>
        <v>1259.0992721171922</v>
      </c>
      <c r="I10" s="182">
        <f>_xlfn.IFERROR(IF($C10&lt;&gt;"",HLOOKUP(LEFT($C10,2),TABING!$Q$2:$Y$106,102,FALSE)*'PARC INGG'!$AL13,""),"")</f>
        <v>0</v>
      </c>
      <c r="J10" s="182">
        <f>_xlfn.IFERROR(IF($C10&lt;&gt;"",HLOOKUP(LEFT($C10,2),TABING!$Q$2:$Y$106,105,FALSE)*'PARC INGG'!$AL13,""),"")</f>
        <v>0</v>
      </c>
      <c r="K10" s="218">
        <f t="shared" si="0"/>
        <v>1259.0992721171922</v>
      </c>
    </row>
    <row r="11" spans="2:11" ht="21.75" customHeight="1">
      <c r="B11" s="240">
        <f>IF(AND(C10&lt;&gt;"",C11&lt;&gt;""),B10+1,"")</f>
      </c>
      <c r="C11" s="239">
        <f>IF('PARC INGG'!C14&lt;&gt;"",'PARC INGG'!C14,"")</f>
      </c>
      <c r="D11" s="182">
        <f>IF($C11&lt;&gt;"",_xlfn.IFERROR(HLOOKUP(LEFT($C11,2),TABING!$Q$2:$Y$106,12,FALSE)*'PARC INGG'!AL14,""),"")</f>
      </c>
      <c r="E11" s="182">
        <f>_xlfn.IFERROR(IF($C11&lt;&gt;"",HLOOKUP(LEFT($C11,2),TABING!$Q$2:$Y$106,37,FALSE)*'PARC INGG'!AL14+'PARC INGG'!AI14,""),"")</f>
      </c>
      <c r="F11" s="182">
        <f>_xlfn.IFERROR(IF($C11&lt;&gt;"",HLOOKUP(LEFT($C11,2),TABING!$Q$2:$Y$106,69,FALSE)*'PARC INGG'!AL14+'PARC INGG'!AJ14,""),"")</f>
      </c>
      <c r="G11" s="182">
        <f>_xlfn.IFERROR(IF($C11&lt;&gt;"",HLOOKUP(LEFT($C11,2),TABING!$Q$2:$Y$106,81,FALSE)*'PARC INGG'!AL14,""),"")</f>
      </c>
      <c r="H11" s="182">
        <f>_xlfn.IFERROR(IF($C11&lt;&gt;"",HLOOKUP(LEFT($C11,2),TABING!$Q$2:$Y$106,96,FALSE)*'PARC INGG'!AL14+'PARC INGG'!AK14,""),"")</f>
      </c>
      <c r="I11" s="182">
        <f>_xlfn.IFERROR(IF($C11&lt;&gt;"",HLOOKUP(LEFT($C11,2),TABING!$Q$2:$Y$106,102,FALSE)*'PARC INGG'!$AL14,""),"")</f>
      </c>
      <c r="J11" s="182">
        <f>_xlfn.IFERROR(IF($C11&lt;&gt;"",HLOOKUP(LEFT($C11,2),TABING!$Q$2:$Y$106,105,FALSE)*'PARC INGG'!$AL14,""),"")</f>
      </c>
      <c r="K11" s="218">
        <f t="shared" si="0"/>
      </c>
    </row>
    <row r="12" spans="2:11" ht="30.75" customHeight="1" thickBot="1">
      <c r="B12" s="626" t="s">
        <v>411</v>
      </c>
      <c r="C12" s="627"/>
      <c r="D12" s="219">
        <f aca="true" t="shared" si="1" ref="D12:K12">SUM(D6:D11)</f>
        <v>0</v>
      </c>
      <c r="E12" s="220">
        <f t="shared" si="1"/>
        <v>0</v>
      </c>
      <c r="F12" s="221">
        <f t="shared" si="1"/>
        <v>0</v>
      </c>
      <c r="G12" s="222">
        <f t="shared" si="1"/>
        <v>0</v>
      </c>
      <c r="H12" s="223">
        <f t="shared" si="1"/>
        <v>57049.514126543705</v>
      </c>
      <c r="I12" s="224">
        <f>SUM(I6:I11)</f>
        <v>0</v>
      </c>
      <c r="J12" s="225">
        <f t="shared" si="1"/>
        <v>0</v>
      </c>
      <c r="K12" s="226">
        <f t="shared" si="1"/>
        <v>57049.514126543705</v>
      </c>
    </row>
    <row r="13" spans="2:11" ht="41.25" customHeight="1" thickBot="1">
      <c r="B13" s="630"/>
      <c r="C13" s="631"/>
      <c r="D13" s="631"/>
      <c r="E13" s="631"/>
      <c r="F13" s="631"/>
      <c r="G13" s="631"/>
      <c r="H13" s="631"/>
      <c r="I13" s="631"/>
      <c r="J13" s="631"/>
      <c r="K13" s="632"/>
    </row>
    <row r="14" spans="2:11" s="65" customFormat="1" ht="47.25" customHeight="1">
      <c r="B14" s="468" t="s">
        <v>551</v>
      </c>
      <c r="C14" s="469"/>
      <c r="D14" s="469"/>
      <c r="E14" s="469"/>
      <c r="F14" s="469"/>
      <c r="G14" s="469"/>
      <c r="H14" s="469"/>
      <c r="I14" s="469"/>
      <c r="J14" s="469"/>
      <c r="K14" s="470"/>
    </row>
    <row r="15" spans="2:20" s="65" customFormat="1" ht="24.75" customHeight="1">
      <c r="B15" s="474" t="s">
        <v>553</v>
      </c>
      <c r="C15" s="475"/>
      <c r="D15" s="475"/>
      <c r="E15" s="475"/>
      <c r="F15" s="475"/>
      <c r="G15" s="304">
        <v>0</v>
      </c>
      <c r="H15" s="475" t="str">
        <f>IF(G15=0,"CORRISPETTIVO","CORRISPETTIVO  RIBASSATO")</f>
        <v>CORRISPETTIVO</v>
      </c>
      <c r="I15" s="476"/>
      <c r="J15" s="66" t="s">
        <v>563</v>
      </c>
      <c r="K15" s="132">
        <f>K12*(1-G15/100)</f>
        <v>57049.514126543705</v>
      </c>
      <c r="T15" s="28" t="s">
        <v>78</v>
      </c>
    </row>
    <row r="16" spans="2:11" s="65" customFormat="1" ht="24.75" customHeight="1" thickBot="1">
      <c r="B16" s="591"/>
      <c r="C16" s="592"/>
      <c r="D16" s="592"/>
      <c r="E16" s="592"/>
      <c r="F16" s="593"/>
      <c r="G16" s="599" t="s">
        <v>413</v>
      </c>
      <c r="H16" s="601"/>
      <c r="I16" s="67">
        <f>K15</f>
        <v>57049.514126543705</v>
      </c>
      <c r="J16" s="66" t="s">
        <v>427</v>
      </c>
      <c r="K16" s="305">
        <f>0.04*K15</f>
        <v>2281.980565061748</v>
      </c>
    </row>
    <row r="17" spans="2:11" s="65" customFormat="1" ht="24.75" customHeight="1" thickTop="1">
      <c r="B17" s="591"/>
      <c r="C17" s="592"/>
      <c r="D17" s="592"/>
      <c r="E17" s="592"/>
      <c r="F17" s="593"/>
      <c r="G17" s="575" t="s">
        <v>414</v>
      </c>
      <c r="H17" s="475"/>
      <c r="I17" s="476"/>
      <c r="J17" s="66" t="s">
        <v>563</v>
      </c>
      <c r="K17" s="255">
        <f>K15+K16</f>
        <v>59331.494691605454</v>
      </c>
    </row>
    <row r="18" spans="2:11" s="65" customFormat="1" ht="24.75" customHeight="1" thickBot="1">
      <c r="B18" s="591"/>
      <c r="C18" s="592"/>
      <c r="D18" s="592"/>
      <c r="E18" s="592"/>
      <c r="F18" s="593"/>
      <c r="G18" s="599" t="s">
        <v>415</v>
      </c>
      <c r="H18" s="601"/>
      <c r="I18" s="67">
        <f>K17</f>
        <v>59331.494691605454</v>
      </c>
      <c r="J18" s="66" t="s">
        <v>563</v>
      </c>
      <c r="K18" s="305">
        <f>0.22*K17</f>
        <v>13052.9288321532</v>
      </c>
    </row>
    <row r="19" spans="2:11" s="65" customFormat="1" ht="24.75" customHeight="1" thickBot="1" thickTop="1">
      <c r="B19" s="594"/>
      <c r="C19" s="595"/>
      <c r="D19" s="595"/>
      <c r="E19" s="595"/>
      <c r="F19" s="596"/>
      <c r="G19" s="585" t="s">
        <v>63</v>
      </c>
      <c r="H19" s="586"/>
      <c r="I19" s="587"/>
      <c r="J19" s="134" t="s">
        <v>563</v>
      </c>
      <c r="K19" s="256">
        <f>K17+K18</f>
        <v>72384.42352375865</v>
      </c>
    </row>
    <row r="20" s="65" customFormat="1" ht="12.75">
      <c r="K20" s="180"/>
    </row>
  </sheetData>
  <sheetProtection/>
  <mergeCells count="16">
    <mergeCell ref="G16:H16"/>
    <mergeCell ref="G18:H18"/>
    <mergeCell ref="G19:I19"/>
    <mergeCell ref="G17:I17"/>
    <mergeCell ref="B16:F19"/>
    <mergeCell ref="B13:K13"/>
    <mergeCell ref="B14:K14"/>
    <mergeCell ref="H15:I15"/>
    <mergeCell ref="B15:F15"/>
    <mergeCell ref="E1:K1"/>
    <mergeCell ref="B1:D1"/>
    <mergeCell ref="D2:H2"/>
    <mergeCell ref="B12:C12"/>
    <mergeCell ref="K3:K5"/>
    <mergeCell ref="B3:B4"/>
    <mergeCell ref="C3:C4"/>
  </mergeCells>
  <printOptions/>
  <pageMargins left="0.7" right="0.7" top="0.75" bottom="0.75" header="0.3" footer="0.3"/>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sheetPr codeName="Foglio10">
    <tabColor rgb="FF00B0F0"/>
  </sheetPr>
  <dimension ref="B1:R19"/>
  <sheetViews>
    <sheetView zoomScalePageLayoutView="0" workbookViewId="0" topLeftCell="A4">
      <selection activeCell="H16" sqref="H16:L19"/>
    </sheetView>
  </sheetViews>
  <sheetFormatPr defaultColWidth="9.140625" defaultRowHeight="12.75"/>
  <cols>
    <col min="1" max="1" width="4.8515625" style="11" customWidth="1"/>
    <col min="2" max="2" width="4.57421875" style="11" customWidth="1"/>
    <col min="3" max="3" width="7.8515625" style="11" customWidth="1"/>
    <col min="4" max="4" width="17.140625" style="11" customWidth="1"/>
    <col min="5" max="5" width="17.7109375" style="11" customWidth="1"/>
    <col min="6" max="6" width="18.140625" style="11" customWidth="1"/>
    <col min="7" max="8" width="16.57421875" style="11" customWidth="1"/>
    <col min="9" max="9" width="16.421875" style="11" customWidth="1"/>
    <col min="10" max="10" width="15.7109375" style="11" customWidth="1"/>
    <col min="11" max="11" width="17.7109375" style="11" customWidth="1"/>
    <col min="12" max="16" width="15.7109375" style="11" customWidth="1"/>
    <col min="17" max="17" width="15.7109375" style="181" customWidth="1"/>
    <col min="18" max="36" width="9.140625" style="11" customWidth="1"/>
    <col min="37" max="16384" width="9.140625" style="11" customWidth="1"/>
  </cols>
  <sheetData>
    <row r="1" spans="2:17" ht="32.25" customHeight="1">
      <c r="B1" s="624" t="s">
        <v>477</v>
      </c>
      <c r="C1" s="625"/>
      <c r="D1" s="625"/>
      <c r="E1" s="636" t="str">
        <f>'PARC INGG'!E1:P1</f>
        <v>LAVORI DI RIQUALIFICAZIONE URBANA DEL CENTRO STORICO – 
RIQUALIFICAZIONE E VALORIZZAZIONE DELLA PIAZZA VITTORIO EMANUELE ORLANDO - CINISI (PA)</v>
      </c>
      <c r="F1" s="636"/>
      <c r="G1" s="636"/>
      <c r="H1" s="636"/>
      <c r="I1" s="636"/>
      <c r="J1" s="636"/>
      <c r="K1" s="636"/>
      <c r="L1" s="636"/>
      <c r="M1" s="636"/>
      <c r="N1" s="636"/>
      <c r="O1" s="636"/>
      <c r="P1" s="636"/>
      <c r="Q1" s="637"/>
    </row>
    <row r="2" spans="2:17" ht="27.75" customHeight="1">
      <c r="B2" s="233"/>
      <c r="C2" s="234"/>
      <c r="D2" s="478" t="s">
        <v>465</v>
      </c>
      <c r="E2" s="478"/>
      <c r="F2" s="478"/>
      <c r="G2" s="478"/>
      <c r="H2" s="478"/>
      <c r="I2" s="478"/>
      <c r="J2" s="478"/>
      <c r="K2" s="234"/>
      <c r="L2" s="234"/>
      <c r="M2" s="234"/>
      <c r="N2" s="234"/>
      <c r="O2" s="234"/>
      <c r="P2" s="234"/>
      <c r="Q2" s="238"/>
    </row>
    <row r="3" spans="2:17" ht="25.5" customHeight="1">
      <c r="B3" s="488" t="s">
        <v>406</v>
      </c>
      <c r="C3" s="572" t="s">
        <v>564</v>
      </c>
      <c r="D3" s="215">
        <f>IF(D$5&lt;&gt;"","aI) - aIV)","")</f>
      </c>
      <c r="E3" s="216">
        <f>IF(E$5&lt;&gt;"","b.I)","")</f>
      </c>
      <c r="F3" s="213">
        <f>IF(F$5&lt;&gt;"","b.II)","")</f>
      </c>
      <c r="G3" s="91">
        <f>IF((TABING!Z$82-SUM(TABING!Q77:TABING!Y77))&lt;&gt;0,"b.III)","")</f>
      </c>
      <c r="H3" s="91">
        <f>IF(H$5&lt;&gt;"","b.III)","")</f>
      </c>
      <c r="I3" s="235" t="str">
        <f>IF(OR((TABING!Z$97-SUM(TABING!Q95:TABING!Y95))&lt;&gt;0,TABING!C$92="SI",TABING!C$93="SI"),"c.I)","")</f>
        <v>c.I)</v>
      </c>
      <c r="J3" s="235" t="str">
        <f>IF(J$5&lt;&gt;"","c.I)","")</f>
        <v>c.I)</v>
      </c>
      <c r="K3" s="214">
        <f>IF(K$5&lt;&gt;"","d.I.01)","")</f>
      </c>
      <c r="L3" s="214">
        <f>IF(L$5&lt;&gt;"","d.I.02)","")</f>
      </c>
      <c r="M3" s="214">
        <f>IF(M$5&lt;&gt;"","d.I.03)","")</f>
      </c>
      <c r="N3" s="214">
        <f>IF(N$5&lt;&gt;"","d.I.04)","")</f>
      </c>
      <c r="O3" s="214">
        <f>IF(O$5&lt;&gt;"","d.I.05)","")</f>
      </c>
      <c r="P3" s="70">
        <f>IF(P$5&lt;&gt;"","e.I)","")</f>
      </c>
      <c r="Q3" s="605" t="s">
        <v>504</v>
      </c>
    </row>
    <row r="4" spans="2:17" ht="65.25" customHeight="1">
      <c r="B4" s="488"/>
      <c r="C4" s="574"/>
      <c r="D4" s="215">
        <f>IF(D$5&lt;&gt;"","ATTIVITA' PROPED. ALLA PROGETTAZ.","")</f>
      </c>
      <c r="E4" s="216">
        <f>IF(E$5&lt;&gt;"","PROGETTAZIONE PRELIMINARE","")</f>
      </c>
      <c r="F4" s="213">
        <f>IF(F$5&lt;&gt;"","PROGETTAZIONE DEFINITIVA","")</f>
      </c>
      <c r="G4" s="91">
        <f>IF((TABING!Z$82-SUM(TABING!Q77:TABING!Y77))&lt;&gt;0,"PROGETTAZIONE ESECUTIVA","")</f>
      </c>
      <c r="H4" s="91">
        <f>IF(H$5&lt;&gt;"","COORD SICUREZ IN FASE DI PROGETTAZ","")</f>
      </c>
      <c r="I4" s="235" t="str">
        <f>IF(OR((TABING!Z$97-SUM(TABING!Q95:TABING!Y95))&lt;&gt;0,TABING!C$92="SI",TABING!C$93="SI"),"ESECUZIONE DEI LAVORI (D.L.)","")</f>
        <v>ESECUZIONE DEI LAVORI (D.L.)</v>
      </c>
      <c r="J4" s="235" t="str">
        <f>IF(J$5&lt;&gt;"","COORD SICUREZ IN FASE DI ESECUZIONE","")</f>
        <v>COORD SICUREZ IN FASE DI ESECUZIONE</v>
      </c>
      <c r="K4" s="214">
        <f>IF(K$5&lt;&gt;"","COLLAUDO TEC AMMINISTRATIVO","")</f>
      </c>
      <c r="L4" s="214">
        <f>IF(L$5&lt;&gt;"","REVISIONE TEC CONTABILE","")</f>
      </c>
      <c r="M4" s="214">
        <f>IF(M$5&lt;&gt;"","COLLAUDO STATICO","")</f>
      </c>
      <c r="N4" s="214">
        <f>IF(N$5&lt;&gt;"","COLLAUDO TEC FUNZIONALE IMPIANTI","")</f>
      </c>
      <c r="O4" s="214">
        <f>IF(O$5&lt;&gt;"","ATTESTAZ CERTIF ENERGETICA","")</f>
      </c>
      <c r="P4" s="70">
        <f>IF(P$5&lt;&gt;"","MONITORAGGI E CONTROLLI","")</f>
      </c>
      <c r="Q4" s="605"/>
    </row>
    <row r="5" spans="2:17" ht="109.5" customHeight="1">
      <c r="B5" s="488"/>
      <c r="C5" s="306" t="s">
        <v>565</v>
      </c>
      <c r="D5" s="212">
        <f>IF(TABING!$Z13&lt;&gt;0,CONCATENATE(TABING!AA5," ",TABING!AA8," ",TABING!AA11," ",TABING!AA13),"")</f>
      </c>
      <c r="E5" s="212">
        <f>IF(OR(TABING!Z38&lt;&gt;0,TABING!C30="SI",TABING!C33="SI"),CONCATENATE(TABING!AA37," ",TABING!AA38),"")</f>
      </c>
      <c r="F5" s="212">
        <f>IF(OR(TABING!Z70&lt;&gt;0,TABING!C62="SI",TABING!C65="SI"),CONCATENATE(TABING!AA69," ",TABING!AA70),"")</f>
      </c>
      <c r="G5" s="212" t="str">
        <f>IF(TABING!AB82&lt;&gt;"",TABING!AB82,"")</f>
        <v>         </v>
      </c>
      <c r="H5" s="212">
        <f>IF(TABING!$C77="SI",TABING!B77,"")</f>
      </c>
      <c r="I5" s="212" t="str">
        <f>IF(TABING!AB97&lt;&gt;"",TABING!AB97,"")</f>
        <v>Qc.I.01 Qc.I.02 Qc.I.03      Qc.I.09   </v>
      </c>
      <c r="J5" s="212" t="str">
        <f>IF(TABING!C95="SI",TABING!B95,"")</f>
        <v>Qc.I.12</v>
      </c>
      <c r="K5" s="212">
        <f>IF(TABING!C98="SI",TABING!B98,"")</f>
      </c>
      <c r="L5" s="212">
        <f>IF(TABING!C99="SI",TABING!B99,"")</f>
      </c>
      <c r="M5" s="212">
        <f>IF(TABING!C100="SI",TABING!B100,"")</f>
      </c>
      <c r="N5" s="212">
        <f>IF(TABING!C101="SI",TABING!B101,"")</f>
      </c>
      <c r="O5" s="212">
        <f>IF(TABING!C102="SI",TABING!B102,"")</f>
      </c>
      <c r="P5" s="212">
        <f>IF(TABING!$Z106&lt;&gt;0,TABING!AA106,"")</f>
      </c>
      <c r="Q5" s="605"/>
    </row>
    <row r="6" spans="2:18" ht="19.5" customHeight="1">
      <c r="B6" s="240">
        <v>1</v>
      </c>
      <c r="C6" s="239" t="str">
        <f>IF('PARC INGG'!C9&lt;&gt;"",'PARC INGG'!C9,"")</f>
        <v>E.19</v>
      </c>
      <c r="D6" s="182">
        <f>IF($C6&lt;&gt;"",_xlfn.IFERROR(HLOOKUP(LEFT($C6,2),TABING!$Q$2:$Y$106,12,FALSE)*'PARC INGG'!AL9,""),"")</f>
        <v>0</v>
      </c>
      <c r="E6" s="182">
        <f>_xlfn.IFERROR(IF($C6&lt;&gt;"",HLOOKUP(LEFT($C6,2),TABING!$Q$2:$Y$106,37,FALSE)*'PARC INGG'!AL9+'PARC INGG'!AI9,""),"")</f>
        <v>0</v>
      </c>
      <c r="F6" s="182">
        <f>_xlfn.IFERROR(IF($C6&lt;&gt;"",HLOOKUP(LEFT($C6,2),TABING!$Q$2:$Y$106,69,FALSE)*'PARC INGG'!AL9+'PARC INGG'!AJ9,""),"")</f>
        <v>0</v>
      </c>
      <c r="G6" s="182">
        <f>_xlfn.IFERROR(IF($C6&lt;&gt;"",(HLOOKUP(LEFT($C6,2),TABING!$Q$2:$Y$106,81,FALSE)-HLOOKUP(LEFT($C6,2),TABING!$Q$2:$Y$106,76,FALSE))*'PARC INGG'!AL9,""),"")</f>
      </c>
      <c r="H6" s="182">
        <f>_xlfn.IFERROR(IF($C6&lt;&gt;"",HLOOKUP(LEFT($C6,2),TABING!$Q$2:$Y$106,76,FALSE)*'PARC INGG'!AL9,""),"")</f>
      </c>
      <c r="I6" s="182">
        <f>_xlfn.IFERROR(IF($C6&lt;&gt;"",(HLOOKUP(LEFT($C6,2),TABING!$Q$2:$Y$106,96,FALSE)-HLOOKUP(LEFT($C6,2),TABING!$Q$2:$Y$106,94,FALSE))*'PARC INGG'!AL9+'PARC INGG'!AK9,""),"")</f>
        <v>20321.795146275377</v>
      </c>
      <c r="J6" s="182">
        <f>_xlfn.IFERROR(IF($C6&lt;&gt;"",HLOOKUP(LEFT($C6,2),TABING!$Q$2:$Y$106,94,FALSE)*'PARC INGG'!AL9,""),"")</f>
        <v>11814.997178067078</v>
      </c>
      <c r="K6" s="182">
        <f>_xlfn.IFERROR(IF($C6&lt;&gt;"",HLOOKUP(LEFT($C6,2),TABING!$Q$2:$Y$106,97,FALSE)*'PARC INGG'!$AL9,""),"")</f>
      </c>
      <c r="L6" s="182">
        <f>_xlfn.IFERROR(IF($C6&lt;&gt;"",HLOOKUP(LEFT($C6,2),TABING!$Q$2:$Y$106,98,FALSE)*'PARC INGG'!$AL9,""),"")</f>
      </c>
      <c r="M6" s="182">
        <f>_xlfn.IFERROR(IF($C6&lt;&gt;"",HLOOKUP(LEFT($C6,2),TABING!$Q$2:$Y$106,99,FALSE)*'PARC INGG'!$AL9,""),"")</f>
      </c>
      <c r="N6" s="182">
        <f>_xlfn.IFERROR(IF($C6&lt;&gt;"",HLOOKUP(LEFT($C6,2),TABING!$Q$2:$Y$106,100,FALSE)*'PARC INGG'!$AL9,""),"")</f>
      </c>
      <c r="O6" s="182">
        <f>_xlfn.IFERROR(IF($C6&lt;&gt;"",HLOOKUP(LEFT($C6,2),TABING!$Q$2:$Y$106,101,FALSE)*'PARC INGG'!$AL9,""),"")</f>
      </c>
      <c r="P6" s="182">
        <f>_xlfn.IFERROR(IF($C6&lt;&gt;"",HLOOKUP(LEFT($C6,2),TABING!$Q$2:$Y$106,105,FALSE)*'PARC INGG'!$AL9,""),"")</f>
        <v>0</v>
      </c>
      <c r="Q6" s="218">
        <f aca="true" t="shared" si="0" ref="Q6:Q11">IF(C6&lt;&gt;"",SUM(D6:P6),"")</f>
        <v>32136.792324342456</v>
      </c>
      <c r="R6" s="227"/>
    </row>
    <row r="7" spans="2:17" ht="19.5" customHeight="1">
      <c r="B7" s="240">
        <f>IF(AND(C6&lt;&gt;"",C7&lt;&gt;""),B6+1,"")</f>
        <v>2</v>
      </c>
      <c r="C7" s="239" t="str">
        <f>IF('PARC INGG'!C10&lt;&gt;"",'PARC INGG'!C10,"")</f>
        <v>E.22</v>
      </c>
      <c r="D7" s="182">
        <f>IF($C7&lt;&gt;"",_xlfn.IFERROR(HLOOKUP(LEFT($C7,2),TABING!$Q$2:$Y$106,12,FALSE)*'PARC INGG'!AL10,""),"")</f>
        <v>0</v>
      </c>
      <c r="E7" s="182">
        <f>_xlfn.IFERROR(IF($C7&lt;&gt;"",HLOOKUP(LEFT($C7,2),TABING!$Q$2:$Y$106,37,FALSE)*'PARC INGG'!AL10+'PARC INGG'!AI10,""),"")</f>
        <v>0</v>
      </c>
      <c r="F7" s="182">
        <f>_xlfn.IFERROR(IF($C7&lt;&gt;"",HLOOKUP(LEFT($C7,2),TABING!$Q$2:$Y$106,69,FALSE)*'PARC INGG'!AL10+'PARC INGG'!AJ10,""),"")</f>
        <v>0</v>
      </c>
      <c r="G7" s="182">
        <f>_xlfn.IFERROR(IF($C7&lt;&gt;"",(HLOOKUP(LEFT($C7,2),TABING!$Q$2:$Y$106,81,FALSE)-HLOOKUP(LEFT($C7,2),TABING!$Q$2:$Y$106,76,FALSE))*'PARC INGG'!AL10,""),"")</f>
      </c>
      <c r="H7" s="182">
        <f>_xlfn.IFERROR(IF($C7&lt;&gt;"",HLOOKUP(LEFT($C7,2),TABING!$Q$2:$Y$106,76,FALSE)*'PARC INGG'!AL10,""),"")</f>
      </c>
      <c r="I7" s="182">
        <f>_xlfn.IFERROR(IF($C7&lt;&gt;"",(HLOOKUP(LEFT($C7,2),TABING!$Q$2:$Y$106,96,FALSE)-HLOOKUP(LEFT($C7,2),TABING!$Q$2:$Y$106,94,FALSE))*'PARC INGG'!AL10+'PARC INGG'!AK10,""),"")</f>
        <v>6840.501145347806</v>
      </c>
      <c r="J7" s="182">
        <f>_xlfn.IFERROR(IF($C7&lt;&gt;"",HLOOKUP(LEFT($C7,2),TABING!$Q$2:$Y$106,94,FALSE)*'PARC INGG'!AL10,""),"")</f>
        <v>3977.0355496208176</v>
      </c>
      <c r="K7" s="182">
        <f>_xlfn.IFERROR(IF($C7&lt;&gt;"",HLOOKUP(LEFT($C7,2),TABING!$Q$2:$Y$106,97,FALSE)*'PARC INGG'!$AL10,""),"")</f>
      </c>
      <c r="L7" s="182">
        <f>_xlfn.IFERROR(IF($C7&lt;&gt;"",HLOOKUP(LEFT($C7,2),TABING!$Q$2:$Y$106,98,FALSE)*'PARC INGG'!$AL10,""),"")</f>
      </c>
      <c r="M7" s="182">
        <f>_xlfn.IFERROR(IF($C7&lt;&gt;"",HLOOKUP(LEFT($C7,2),TABING!$Q$2:$Y$106,99,FALSE)*'PARC INGG'!$AL10,""),"")</f>
      </c>
      <c r="N7" s="182">
        <f>_xlfn.IFERROR(IF($C7&lt;&gt;"",HLOOKUP(LEFT($C7,2),TABING!$Q$2:$Y$106,100,FALSE)*'PARC INGG'!$AL10,""),"")</f>
      </c>
      <c r="O7" s="182">
        <f>_xlfn.IFERROR(IF($C7&lt;&gt;"",HLOOKUP(LEFT($C7,2),TABING!$Q$2:$Y$106,101,FALSE)*'PARC INGG'!$AL10,""),"")</f>
      </c>
      <c r="P7" s="182">
        <f>_xlfn.IFERROR(IF($C7&lt;&gt;"",HLOOKUP(LEFT($C7,2),TABING!$Q$2:$Y$106,105,FALSE)*'PARC INGG'!$AL10,""),"")</f>
        <v>0</v>
      </c>
      <c r="Q7" s="218">
        <f t="shared" si="0"/>
        <v>10817.536694968625</v>
      </c>
    </row>
    <row r="8" spans="2:17" ht="19.5" customHeight="1">
      <c r="B8" s="240">
        <f>IF(AND(C7&lt;&gt;"",C8&lt;&gt;""),B7+1,"")</f>
        <v>3</v>
      </c>
      <c r="C8" s="239" t="str">
        <f>IF('PARC INGG'!C11&lt;&gt;"",'PARC INGG'!C11,"")</f>
        <v>S.03</v>
      </c>
      <c r="D8" s="182">
        <f>IF($C8&lt;&gt;"",_xlfn.IFERROR(HLOOKUP(LEFT($C8,2),TABING!$Q$2:$Y$106,12,FALSE)*'PARC INGG'!AL11,""),"")</f>
        <v>0</v>
      </c>
      <c r="E8" s="182">
        <f>_xlfn.IFERROR(IF($C8&lt;&gt;"",HLOOKUP(LEFT($C8,2),TABING!$Q$2:$Y$106,37,FALSE)*'PARC INGG'!AL11+'PARC INGG'!AI11,""),"")</f>
        <v>0</v>
      </c>
      <c r="F8" s="182">
        <f>_xlfn.IFERROR(IF($C8&lt;&gt;"",HLOOKUP(LEFT($C8,2),TABING!$Q$2:$Y$106,69,FALSE)*'PARC INGG'!AL11+'PARC INGG'!AJ11,""),"")</f>
        <v>0</v>
      </c>
      <c r="G8" s="182">
        <f>_xlfn.IFERROR(IF($C8&lt;&gt;"",(HLOOKUP(LEFT($C8,2),TABING!$Q$2:$Y$106,81,FALSE)-HLOOKUP(LEFT($C8,2),TABING!$Q$2:$Y$106,76,FALSE))*'PARC INGG'!AL11,""),"")</f>
      </c>
      <c r="H8" s="182">
        <f>_xlfn.IFERROR(IF($C8&lt;&gt;"",HLOOKUP(LEFT($C8,2),TABING!$Q$2:$Y$106,76,FALSE)*'PARC INGG'!AL11,""),"")</f>
      </c>
      <c r="I8" s="182">
        <f>_xlfn.IFERROR(IF($C8&lt;&gt;"",(HLOOKUP(LEFT($C8,2),TABING!$Q$2:$Y$106,96,FALSE)-HLOOKUP(LEFT($C8,2),TABING!$Q$2:$Y$106,94,FALSE))*'PARC INGG'!AL11+'PARC INGG'!AK11,""),"")</f>
        <v>1890.5436715386843</v>
      </c>
      <c r="J8" s="182">
        <f>_xlfn.IFERROR(IF($C8&lt;&gt;"",HLOOKUP(LEFT($C8,2),TABING!$Q$2:$Y$106,94,FALSE)*'PARC INGG'!AL11,""),"")</f>
        <v>984.6581622597313</v>
      </c>
      <c r="K8" s="182">
        <f>_xlfn.IFERROR(IF($C8&lt;&gt;"",HLOOKUP(LEFT($C8,2),TABING!$Q$2:$Y$106,97,FALSE)*'PARC INGG'!$AL11,""),"")</f>
      </c>
      <c r="L8" s="182">
        <f>_xlfn.IFERROR(IF($C8&lt;&gt;"",HLOOKUP(LEFT($C8,2),TABING!$Q$2:$Y$106,98,FALSE)*'PARC INGG'!$AL11,""),"")</f>
      </c>
      <c r="M8" s="182">
        <f>_xlfn.IFERROR(IF($C8&lt;&gt;"",HLOOKUP(LEFT($C8,2),TABING!$Q$2:$Y$106,99,FALSE)*'PARC INGG'!$AL11,""),"")</f>
      </c>
      <c r="N8" s="182">
        <f>_xlfn.IFERROR(IF($C8&lt;&gt;"",HLOOKUP(LEFT($C8,2),TABING!$Q$2:$Y$106,100,FALSE)*'PARC INGG'!$AL11,""),"")</f>
      </c>
      <c r="O8" s="182">
        <f>_xlfn.IFERROR(IF($C8&lt;&gt;"",HLOOKUP(LEFT($C8,2),TABING!$Q$2:$Y$106,101,FALSE)*'PARC INGG'!$AL11,""),"")</f>
      </c>
      <c r="P8" s="182">
        <f>_xlfn.IFERROR(IF($C8&lt;&gt;"",HLOOKUP(LEFT($C8,2),TABING!$Q$2:$Y$106,105,FALSE)*'PARC INGG'!$AL11,""),"")</f>
        <v>0</v>
      </c>
      <c r="Q8" s="218">
        <f t="shared" si="0"/>
        <v>2875.2018337984155</v>
      </c>
    </row>
    <row r="9" spans="2:17" ht="19.5" customHeight="1">
      <c r="B9" s="240">
        <f>IF(AND(C8&lt;&gt;"",C9&lt;&gt;""),B8+1,"")</f>
        <v>4</v>
      </c>
      <c r="C9" s="239" t="str">
        <f>IF('PARC INGG'!C12&lt;&gt;"",'PARC INGG'!C12,"")</f>
        <v>IA.03</v>
      </c>
      <c r="D9" s="182">
        <f>IF($C9&lt;&gt;"",_xlfn.IFERROR(HLOOKUP(LEFT($C9,2),TABING!$Q$2:$Y$106,12,FALSE)*'PARC INGG'!AL12,""),"")</f>
        <v>0</v>
      </c>
      <c r="E9" s="182">
        <f>_xlfn.IFERROR(IF($C9&lt;&gt;"",HLOOKUP(LEFT($C9,2),TABING!$Q$2:$Y$106,37,FALSE)*'PARC INGG'!AL12+'PARC INGG'!AI12,""),"")</f>
        <v>0</v>
      </c>
      <c r="F9" s="182">
        <f>_xlfn.IFERROR(IF($C9&lt;&gt;"",HLOOKUP(LEFT($C9,2),TABING!$Q$2:$Y$106,69,FALSE)*'PARC INGG'!AL12+'PARC INGG'!AJ12,""),"")</f>
        <v>0</v>
      </c>
      <c r="G9" s="182">
        <f>_xlfn.IFERROR(IF($C9&lt;&gt;"",(HLOOKUP(LEFT($C9,2),TABING!$Q$2:$Y$106,81,FALSE)-HLOOKUP(LEFT($C9,2),TABING!$Q$2:$Y$106,76,FALSE))*'PARC INGG'!AL12,""),"")</f>
      </c>
      <c r="H9" s="182">
        <f>_xlfn.IFERROR(IF($C9&lt;&gt;"",HLOOKUP(LEFT($C9,2),TABING!$Q$2:$Y$106,76,FALSE)*'PARC INGG'!AL12,""),"")</f>
      </c>
      <c r="I9" s="182">
        <f>_xlfn.IFERROR(IF($C9&lt;&gt;"",(HLOOKUP(LEFT($C9,2),TABING!$Q$2:$Y$106,96,FALSE)-HLOOKUP(LEFT($C9,2),TABING!$Q$2:$Y$106,94,FALSE))*'PARC INGG'!AL12+'PARC INGG'!AK12,""),"")</f>
        <v>6216.190767739193</v>
      </c>
      <c r="J9" s="182">
        <f>_xlfn.IFERROR(IF($C9&lt;&gt;"",HLOOKUP(LEFT($C9,2),TABING!$Q$2:$Y$106,94,FALSE)*'PARC INGG'!AL12,""),"")</f>
        <v>3744.693233577827</v>
      </c>
      <c r="K9" s="182">
        <f>_xlfn.IFERROR(IF($C9&lt;&gt;"",HLOOKUP(LEFT($C9,2),TABING!$Q$2:$Y$106,97,FALSE)*'PARC INGG'!$AL12,""),"")</f>
      </c>
      <c r="L9" s="182">
        <f>_xlfn.IFERROR(IF($C9&lt;&gt;"",HLOOKUP(LEFT($C9,2),TABING!$Q$2:$Y$106,98,FALSE)*'PARC INGG'!$AL12,""),"")</f>
      </c>
      <c r="M9" s="182">
        <f>_xlfn.IFERROR(IF($C9&lt;&gt;"",HLOOKUP(LEFT($C9,2),TABING!$Q$2:$Y$106,99,FALSE)*'PARC INGG'!$AL12,""),"")</f>
      </c>
      <c r="N9" s="182">
        <f>_xlfn.IFERROR(IF($C9&lt;&gt;"",HLOOKUP(LEFT($C9,2),TABING!$Q$2:$Y$106,100,FALSE)*'PARC INGG'!$AL12,""),"")</f>
      </c>
      <c r="O9" s="182">
        <f>_xlfn.IFERROR(IF($C9&lt;&gt;"",HLOOKUP(LEFT($C9,2),TABING!$Q$2:$Y$106,101,FALSE)*'PARC INGG'!$AL12,""),"")</f>
      </c>
      <c r="P9" s="182">
        <f>_xlfn.IFERROR(IF($C9&lt;&gt;"",HLOOKUP(LEFT($C9,2),TABING!$Q$2:$Y$106,105,FALSE)*'PARC INGG'!$AL12,""),"")</f>
        <v>0</v>
      </c>
      <c r="Q9" s="218">
        <f t="shared" si="0"/>
        <v>9960.88400131702</v>
      </c>
    </row>
    <row r="10" spans="2:17" ht="19.5" customHeight="1">
      <c r="B10" s="240">
        <f>IF(AND(C9&lt;&gt;"",C10&lt;&gt;""),B9+1,"")</f>
        <v>5</v>
      </c>
      <c r="C10" s="239" t="str">
        <f>IF('PARC INGG'!C13&lt;&gt;"",'PARC INGG'!C13,"")</f>
        <v>IA.01</v>
      </c>
      <c r="D10" s="182">
        <f>IF($C10&lt;&gt;"",_xlfn.IFERROR(HLOOKUP(LEFT($C10,2),TABING!$Q$2:$Y$106,12,FALSE)*'PARC INGG'!AL13,""),"")</f>
        <v>0</v>
      </c>
      <c r="E10" s="182">
        <f>_xlfn.IFERROR(IF($C10&lt;&gt;"",HLOOKUP(LEFT($C10,2),TABING!$Q$2:$Y$106,37,FALSE)*'PARC INGG'!AL13+'PARC INGG'!AI13,""),"")</f>
        <v>0</v>
      </c>
      <c r="F10" s="182">
        <f>_xlfn.IFERROR(IF($C10&lt;&gt;"",HLOOKUP(LEFT($C10,2),TABING!$Q$2:$Y$106,69,FALSE)*'PARC INGG'!AL13+'PARC INGG'!AJ13,""),"")</f>
        <v>0</v>
      </c>
      <c r="G10" s="182">
        <f>_xlfn.IFERROR(IF($C10&lt;&gt;"",(HLOOKUP(LEFT($C10,2),TABING!$Q$2:$Y$106,81,FALSE)-HLOOKUP(LEFT($C10,2),TABING!$Q$2:$Y$106,76,FALSE))*'PARC INGG'!AL13,""),"")</f>
      </c>
      <c r="H10" s="182">
        <f>_xlfn.IFERROR(IF($C10&lt;&gt;"",HLOOKUP(LEFT($C10,2),TABING!$Q$2:$Y$106,76,FALSE)*'PARC INGG'!AL13,""),"")</f>
      </c>
      <c r="I10" s="182">
        <f>_xlfn.IFERROR(IF($C10&lt;&gt;"",(HLOOKUP(LEFT($C10,2),TABING!$Q$2:$Y$106,96,FALSE)-HLOOKUP(LEFT($C10,2),TABING!$Q$2:$Y$106,94,FALSE))*'PARC INGG'!AL13+'PARC INGG'!AK13,""),"")</f>
        <v>785.7536810956914</v>
      </c>
      <c r="J10" s="182">
        <f>_xlfn.IFERROR(IF($C10&lt;&gt;"",HLOOKUP(LEFT($C10,2),TABING!$Q$2:$Y$106,94,FALSE)*'PARC INGG'!AL13,""),"")</f>
        <v>473.3455910215008</v>
      </c>
      <c r="K10" s="182">
        <f>_xlfn.IFERROR(IF($C10&lt;&gt;"",HLOOKUP(LEFT($C10,2),TABING!$Q$2:$Y$106,97,FALSE)*'PARC INGG'!$AL13,""),"")</f>
      </c>
      <c r="L10" s="182">
        <f>_xlfn.IFERROR(IF($C10&lt;&gt;"",HLOOKUP(LEFT($C10,2),TABING!$Q$2:$Y$106,98,FALSE)*'PARC INGG'!$AL13,""),"")</f>
      </c>
      <c r="M10" s="182">
        <f>_xlfn.IFERROR(IF($C10&lt;&gt;"",HLOOKUP(LEFT($C10,2),TABING!$Q$2:$Y$106,99,FALSE)*'PARC INGG'!$AL13,""),"")</f>
      </c>
      <c r="N10" s="182">
        <f>_xlfn.IFERROR(IF($C10&lt;&gt;"",HLOOKUP(LEFT($C10,2),TABING!$Q$2:$Y$106,100,FALSE)*'PARC INGG'!$AL13,""),"")</f>
      </c>
      <c r="O10" s="182">
        <f>_xlfn.IFERROR(IF($C10&lt;&gt;"",HLOOKUP(LEFT($C10,2),TABING!$Q$2:$Y$106,101,FALSE)*'PARC INGG'!$AL13,""),"")</f>
      </c>
      <c r="P10" s="182">
        <f>_xlfn.IFERROR(IF($C10&lt;&gt;"",HLOOKUP(LEFT($C10,2),TABING!$Q$2:$Y$106,105,FALSE)*'PARC INGG'!$AL13,""),"")</f>
        <v>0</v>
      </c>
      <c r="Q10" s="218">
        <f t="shared" si="0"/>
        <v>1259.0992721171922</v>
      </c>
    </row>
    <row r="11" spans="2:17" ht="19.5" customHeight="1">
      <c r="B11" s="240">
        <f>IF(AND(C10&lt;&gt;"",C11&lt;&gt;""),B10+1,"")</f>
      </c>
      <c r="C11" s="239">
        <f>IF('PARC INGG'!C14&lt;&gt;"",'PARC INGG'!C14,"")</f>
      </c>
      <c r="D11" s="182">
        <f>IF($C11&lt;&gt;"",_xlfn.IFERROR(HLOOKUP(LEFT($C11,2),TABING!$Q$2:$Y$106,12,FALSE)*'PARC INGG'!AL14,""),"")</f>
      </c>
      <c r="E11" s="182">
        <f>_xlfn.IFERROR(IF($C11&lt;&gt;"",HLOOKUP(LEFT($C11,2),TABING!$Q$2:$Y$106,37,FALSE)*'PARC INGG'!AL14+'PARC INGG'!AI14,""),"")</f>
      </c>
      <c r="F11" s="182">
        <f>_xlfn.IFERROR(IF($C11&lt;&gt;"",HLOOKUP(LEFT($C11,2),TABING!$Q$2:$Y$106,69,FALSE)*'PARC INGG'!AL14+'PARC INGG'!AJ14,""),"")</f>
      </c>
      <c r="G11" s="182">
        <f>_xlfn.IFERROR(IF($C11&lt;&gt;"",(HLOOKUP(LEFT($C11,2),TABING!$Q$2:$Y$106,81,FALSE)-HLOOKUP(LEFT($C11,2),TABING!$Q$2:$Y$106,76,FALSE))*'PARC INGG'!AL14,""),"")</f>
      </c>
      <c r="H11" s="182">
        <f>_xlfn.IFERROR(IF($C11&lt;&gt;"",HLOOKUP(LEFT($C11,2),TABING!$Q$2:$Y$106,76,FALSE)*'PARC INGG'!AL14,""),"")</f>
      </c>
      <c r="I11" s="182">
        <f>_xlfn.IFERROR(IF($C11&lt;&gt;"",(HLOOKUP(LEFT($C11,2),TABING!$Q$2:$Y$106,96,FALSE)-HLOOKUP(LEFT($C11,2),TABING!$Q$2:$Y$106,94,FALSE))*'PARC INGG'!AL14+'PARC INGG'!AK14,""),"")</f>
      </c>
      <c r="J11" s="182">
        <f>_xlfn.IFERROR(IF($C11&lt;&gt;"",HLOOKUP(LEFT($C11,2),TABING!$Q$2:$Y$106,94,FALSE)*'PARC INGG'!AL14,""),"")</f>
      </c>
      <c r="K11" s="182">
        <f>_xlfn.IFERROR(IF($C11&lt;&gt;"",HLOOKUP(LEFT($C11,2),TABING!$Q$2:$Y$106,97,FALSE)*'PARC INGG'!$AL14,""),"")</f>
      </c>
      <c r="L11" s="182">
        <f>_xlfn.IFERROR(IF($C11&lt;&gt;"",HLOOKUP(LEFT($C11,2),TABING!$Q$2:$Y$106,98,FALSE)*'PARC INGG'!$AL14,""),"")</f>
      </c>
      <c r="M11" s="182">
        <f>_xlfn.IFERROR(IF($C11&lt;&gt;"",HLOOKUP(LEFT($C11,2),TABING!$Q$2:$Y$106,99,FALSE)*'PARC INGG'!$AL14,""),"")</f>
      </c>
      <c r="N11" s="182">
        <f>_xlfn.IFERROR(IF($C11&lt;&gt;"",HLOOKUP(LEFT($C11,2),TABING!$Q$2:$Y$106,100,FALSE)*'PARC INGG'!$AL14,""),"")</f>
      </c>
      <c r="O11" s="182">
        <f>_xlfn.IFERROR(IF($C11&lt;&gt;"",HLOOKUP(LEFT($C11,2),TABING!$Q$2:$Y$106,101,FALSE)*'PARC INGG'!$AL14,""),"")</f>
      </c>
      <c r="P11" s="182">
        <f>_xlfn.IFERROR(IF($C11&lt;&gt;"",HLOOKUP(LEFT($C11,2),TABING!$Q$2:$Y$106,105,FALSE)*'PARC INGG'!$AL14,""),"")</f>
      </c>
      <c r="Q11" s="218">
        <f t="shared" si="0"/>
      </c>
    </row>
    <row r="12" spans="2:17" ht="30" customHeight="1" thickBot="1">
      <c r="B12" s="626" t="s">
        <v>411</v>
      </c>
      <c r="C12" s="627"/>
      <c r="D12" s="219">
        <f aca="true" t="shared" si="1" ref="D12:Q12">SUM(D6:D11)</f>
        <v>0</v>
      </c>
      <c r="E12" s="220">
        <f t="shared" si="1"/>
        <v>0</v>
      </c>
      <c r="F12" s="221">
        <f t="shared" si="1"/>
        <v>0</v>
      </c>
      <c r="G12" s="222">
        <f t="shared" si="1"/>
        <v>0</v>
      </c>
      <c r="H12" s="222">
        <f>SUM(H6:H11)</f>
        <v>0</v>
      </c>
      <c r="I12" s="223">
        <f t="shared" si="1"/>
        <v>36054.78441199675</v>
      </c>
      <c r="J12" s="223">
        <f>SUM(J6:J11)</f>
        <v>20994.729714546953</v>
      </c>
      <c r="K12" s="224">
        <f>SUM(K6:K11)</f>
        <v>0</v>
      </c>
      <c r="L12" s="224">
        <f>SUM(L6:L11)</f>
        <v>0</v>
      </c>
      <c r="M12" s="224">
        <f>SUM(M6:M11)</f>
        <v>0</v>
      </c>
      <c r="N12" s="224">
        <f>SUM(N6:N11)</f>
        <v>0</v>
      </c>
      <c r="O12" s="224">
        <f t="shared" si="1"/>
        <v>0</v>
      </c>
      <c r="P12" s="225">
        <f t="shared" si="1"/>
        <v>0</v>
      </c>
      <c r="Q12" s="226">
        <f t="shared" si="1"/>
        <v>57049.514126543705</v>
      </c>
    </row>
    <row r="13" spans="2:17" s="65" customFormat="1" ht="15.75" customHeight="1" thickBot="1">
      <c r="B13" s="633"/>
      <c r="C13" s="634"/>
      <c r="D13" s="634"/>
      <c r="E13" s="634"/>
      <c r="F13" s="634"/>
      <c r="G13" s="634"/>
      <c r="H13" s="634"/>
      <c r="I13" s="634"/>
      <c r="J13" s="634"/>
      <c r="K13" s="634"/>
      <c r="L13" s="634"/>
      <c r="M13" s="634"/>
      <c r="N13" s="634"/>
      <c r="O13" s="634"/>
      <c r="P13" s="634"/>
      <c r="Q13" s="635"/>
    </row>
    <row r="14" spans="8:17" s="65" customFormat="1" ht="19.5" customHeight="1">
      <c r="H14" s="468" t="s">
        <v>551</v>
      </c>
      <c r="I14" s="469"/>
      <c r="J14" s="469"/>
      <c r="K14" s="469"/>
      <c r="L14" s="469"/>
      <c r="M14" s="469"/>
      <c r="N14" s="469"/>
      <c r="O14" s="469"/>
      <c r="P14" s="469"/>
      <c r="Q14" s="470"/>
    </row>
    <row r="15" spans="8:17" ht="19.5" customHeight="1">
      <c r="H15" s="474" t="s">
        <v>553</v>
      </c>
      <c r="I15" s="475"/>
      <c r="J15" s="475"/>
      <c r="K15" s="476"/>
      <c r="L15" s="304">
        <v>0</v>
      </c>
      <c r="M15" s="575" t="str">
        <f>IF(L15=0,"CORRISPETTIVO","CORRISPETTIVO  RIBASSATO")</f>
        <v>CORRISPETTIVO</v>
      </c>
      <c r="N15" s="475"/>
      <c r="O15" s="476"/>
      <c r="P15" s="66" t="s">
        <v>563</v>
      </c>
      <c r="Q15" s="132">
        <f>Q12*(1-L15/100)</f>
        <v>57049.514126543705</v>
      </c>
    </row>
    <row r="16" spans="8:17" ht="19.5" customHeight="1" thickBot="1">
      <c r="H16" s="591"/>
      <c r="I16" s="592"/>
      <c r="J16" s="592"/>
      <c r="K16" s="592"/>
      <c r="L16" s="593"/>
      <c r="M16" s="599" t="s">
        <v>413</v>
      </c>
      <c r="N16" s="601"/>
      <c r="O16" s="67">
        <f>Q15</f>
        <v>57049.514126543705</v>
      </c>
      <c r="P16" s="66" t="s">
        <v>563</v>
      </c>
      <c r="Q16" s="305">
        <f>0.04*Q15</f>
        <v>2281.980565061748</v>
      </c>
    </row>
    <row r="17" spans="8:17" ht="19.5" customHeight="1" thickTop="1">
      <c r="H17" s="591"/>
      <c r="I17" s="592"/>
      <c r="J17" s="592"/>
      <c r="K17" s="592"/>
      <c r="L17" s="593"/>
      <c r="M17" s="575" t="s">
        <v>414</v>
      </c>
      <c r="N17" s="475"/>
      <c r="O17" s="476"/>
      <c r="P17" s="66" t="s">
        <v>563</v>
      </c>
      <c r="Q17" s="255">
        <f>Q15+Q16</f>
        <v>59331.494691605454</v>
      </c>
    </row>
    <row r="18" spans="8:17" ht="19.5" customHeight="1" thickBot="1">
      <c r="H18" s="591"/>
      <c r="I18" s="592"/>
      <c r="J18" s="592"/>
      <c r="K18" s="592"/>
      <c r="L18" s="593"/>
      <c r="M18" s="599" t="s">
        <v>415</v>
      </c>
      <c r="N18" s="601"/>
      <c r="O18" s="67">
        <f>Q17</f>
        <v>59331.494691605454</v>
      </c>
      <c r="P18" s="66" t="s">
        <v>563</v>
      </c>
      <c r="Q18" s="305">
        <f>0.22*Q17</f>
        <v>13052.9288321532</v>
      </c>
    </row>
    <row r="19" spans="8:17" ht="22.5" customHeight="1" thickBot="1" thickTop="1">
      <c r="H19" s="594"/>
      <c r="I19" s="595"/>
      <c r="J19" s="595"/>
      <c r="K19" s="595"/>
      <c r="L19" s="596"/>
      <c r="M19" s="585" t="s">
        <v>63</v>
      </c>
      <c r="N19" s="586"/>
      <c r="O19" s="587"/>
      <c r="P19" s="134" t="s">
        <v>563</v>
      </c>
      <c r="Q19" s="256">
        <f>Q17+Q18</f>
        <v>72384.42352375865</v>
      </c>
    </row>
  </sheetData>
  <sheetProtection/>
  <mergeCells count="16">
    <mergeCell ref="H14:Q14"/>
    <mergeCell ref="H16:L19"/>
    <mergeCell ref="M16:N16"/>
    <mergeCell ref="M17:O17"/>
    <mergeCell ref="M18:N18"/>
    <mergeCell ref="M19:O19"/>
    <mergeCell ref="M15:O15"/>
    <mergeCell ref="H15:K15"/>
    <mergeCell ref="B13:Q13"/>
    <mergeCell ref="B1:D1"/>
    <mergeCell ref="Q3:Q5"/>
    <mergeCell ref="B12:C12"/>
    <mergeCell ref="B3:B5"/>
    <mergeCell ref="D2:J2"/>
    <mergeCell ref="E1:Q1"/>
    <mergeCell ref="C3:C4"/>
  </mergeCells>
  <printOptions/>
  <pageMargins left="0.7" right="0.7" top="0.75" bottom="0.75" header="0.3" footer="0.3"/>
  <pageSetup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Ufficio Tecnico</dc:creator>
  <cp:keywords/>
  <dc:description/>
  <cp:lastModifiedBy>Tony</cp:lastModifiedBy>
  <cp:lastPrinted>2018-04-20T08:03:21Z</cp:lastPrinted>
  <dcterms:created xsi:type="dcterms:W3CDTF">2006-01-10T09:48:49Z</dcterms:created>
  <dcterms:modified xsi:type="dcterms:W3CDTF">2018-04-20T08:03:33Z</dcterms:modified>
  <cp:category/>
  <cp:version/>
  <cp:contentType/>
  <cp:contentStatus/>
</cp:coreProperties>
</file>